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oolprofsnl-my.sharepoint.com/personal/eric_ten_harkel_coolprofs_com/Documents/Bureaublad/COC/2025/Plan/"/>
    </mc:Choice>
  </mc:AlternateContent>
  <xr:revisionPtr revIDLastSave="5" documentId="8_{C7FE15E5-EA89-49BF-960D-A37A52D4D5F3}" xr6:coauthVersionLast="47" xr6:coauthVersionMax="47" xr10:uidLastSave="{86678DFB-D67F-414E-AF6F-7DB00511C4C6}"/>
  <bookViews>
    <workbookView xWindow="5520" yWindow="2280" windowWidth="21600" windowHeight="11295" tabRatio="623" firstSheet="1" activeTab="1" xr2:uid="{00000000-000D-0000-FFFF-FFFF00000000}"/>
  </bookViews>
  <sheets>
    <sheet name="uitgangspunten" sheetId="10" r:id="rId1"/>
    <sheet name="overzicht 2025" sheetId="1" r:id="rId2"/>
    <sheet name="ontmoeting-empowerment-welzijn" sheetId="6" r:id="rId3"/>
    <sheet name="veiligheid-belangenbehartiging" sheetId="9" r:id="rId4"/>
    <sheet name="voorlichting" sheetId="3" r:id="rId5"/>
    <sheet name="stadsambassadeurs 2018" sheetId="2" state="hidden" r:id="rId6"/>
  </sheets>
  <definedNames>
    <definedName name="_xlnm.Print_Area" localSheetId="4">voorlichting!$A$1:$L$15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0" i="1"/>
  <c r="BX10" i="6" l="1"/>
  <c r="H22" i="1" l="1"/>
  <c r="H19" i="1"/>
  <c r="H23" i="1"/>
  <c r="H13" i="1"/>
  <c r="S30" i="1"/>
  <c r="BQ16" i="6"/>
  <c r="BQ19" i="6" s="1"/>
  <c r="BH16" i="6"/>
  <c r="BH19" i="6" s="1"/>
  <c r="AY16" i="6"/>
  <c r="AY19" i="6" s="1"/>
  <c r="AN16" i="6"/>
  <c r="AE16" i="6"/>
  <c r="AE19" i="6" s="1"/>
  <c r="V16" i="6"/>
  <c r="V19" i="6" s="1"/>
  <c r="M16" i="6"/>
  <c r="M19" i="6" s="1"/>
  <c r="D16" i="6"/>
  <c r="D19" i="6"/>
  <c r="BX6" i="6"/>
  <c r="C14" i="10" s="1"/>
  <c r="C15" i="10" s="1"/>
  <c r="D15" i="10" s="1"/>
  <c r="BX5" i="6"/>
  <c r="B14" i="10" s="1"/>
  <c r="B15" i="10" s="1"/>
  <c r="D13" i="10"/>
  <c r="BT19" i="6"/>
  <c r="BS19" i="6"/>
  <c r="BK19" i="6"/>
  <c r="BJ19" i="6"/>
  <c r="BB19" i="6"/>
  <c r="BA19" i="6"/>
  <c r="AS19" i="6"/>
  <c r="AR19" i="6"/>
  <c r="AN19" i="6"/>
  <c r="AH19" i="6"/>
  <c r="AG19" i="6"/>
  <c r="Y19" i="6"/>
  <c r="X19" i="6"/>
  <c r="P19" i="6"/>
  <c r="O19" i="6"/>
  <c r="G19" i="6"/>
  <c r="F19" i="6"/>
  <c r="D4" i="10"/>
  <c r="D5" i="10"/>
  <c r="BX18" i="6" l="1"/>
  <c r="BX17" i="6"/>
  <c r="BX16" i="6"/>
  <c r="O7" i="1" s="1"/>
  <c r="H20" i="1" l="1"/>
  <c r="H21" i="1"/>
  <c r="H16" i="1"/>
  <c r="H14" i="1"/>
  <c r="H25" i="9"/>
  <c r="H6" i="3"/>
  <c r="AS9" i="6"/>
  <c r="BB9" i="6"/>
  <c r="BB10" i="6"/>
  <c r="Y9" i="6"/>
  <c r="BK9" i="6"/>
  <c r="P9" i="6"/>
  <c r="G9" i="6"/>
  <c r="AH9" i="6"/>
  <c r="H10" i="3"/>
  <c r="C8" i="10"/>
  <c r="D8" i="10"/>
  <c r="D9" i="10"/>
  <c r="D7" i="10"/>
  <c r="D6" i="10"/>
  <c r="D3" i="10"/>
  <c r="D6" i="9" l="1"/>
  <c r="BT12" i="6"/>
  <c r="BS12" i="6"/>
  <c r="BQ11" i="6"/>
  <c r="D10" i="10"/>
  <c r="O25" i="1"/>
  <c r="BQ12" i="6" l="1"/>
  <c r="F11" i="3" l="1"/>
  <c r="F25" i="9"/>
  <c r="BB11" i="6" l="1"/>
  <c r="AS11" i="6" l="1"/>
  <c r="B8" i="10" l="1"/>
  <c r="BH11" i="6"/>
  <c r="AY11" i="6"/>
  <c r="AN11" i="6"/>
  <c r="AE11" i="6"/>
  <c r="V11" i="6"/>
  <c r="M11" i="6"/>
  <c r="D11" i="6"/>
  <c r="H11" i="3" l="1"/>
  <c r="BB12" i="6"/>
  <c r="AS12" i="6"/>
  <c r="AH12" i="6"/>
  <c r="G12" i="6"/>
  <c r="P12" i="6"/>
  <c r="BK12" i="6"/>
  <c r="BJ12" i="6"/>
  <c r="BA12" i="6"/>
  <c r="AR12" i="6"/>
  <c r="AG12" i="6"/>
  <c r="Y12" i="6"/>
  <c r="X12" i="6"/>
  <c r="O12" i="6"/>
  <c r="F12" i="6"/>
  <c r="BX11" i="6" l="1"/>
  <c r="S7" i="1"/>
  <c r="H7" i="1"/>
  <c r="F7" i="1"/>
  <c r="Q7" i="1" l="1"/>
  <c r="BH10" i="6" l="1"/>
  <c r="BH12" i="6" l="1"/>
  <c r="F31" i="9" l="1"/>
  <c r="D31" i="9"/>
  <c r="F6" i="9"/>
  <c r="H6" i="9"/>
  <c r="J8" i="9"/>
  <c r="J6" i="9" l="1"/>
  <c r="S25" i="1" l="1"/>
  <c r="H24" i="1" l="1"/>
  <c r="F24" i="1"/>
  <c r="D24" i="1" l="1"/>
  <c r="D11" i="3" l="1"/>
  <c r="D25" i="9" l="1"/>
  <c r="O9" i="1"/>
  <c r="AY12" i="6"/>
  <c r="AN12" i="6"/>
  <c r="D12" i="6"/>
  <c r="M12" i="6"/>
  <c r="V12" i="6"/>
  <c r="AE12" i="6"/>
  <c r="D7" i="3"/>
  <c r="D9" i="1" s="1"/>
  <c r="H13" i="9"/>
  <c r="F13" i="9"/>
  <c r="D13" i="9"/>
  <c r="Q24" i="1"/>
  <c r="Q25" i="1" s="1"/>
  <c r="S9" i="1"/>
  <c r="Q9" i="1"/>
  <c r="F17" i="1"/>
  <c r="F7" i="3"/>
  <c r="F9" i="1" s="1"/>
  <c r="H7" i="3"/>
  <c r="H9" i="1" s="1"/>
  <c r="H17" i="1"/>
  <c r="Q8" i="1"/>
  <c r="Q10" i="1" s="1"/>
  <c r="O8" i="1"/>
  <c r="H15" i="9"/>
  <c r="H27" i="9"/>
  <c r="D11" i="2"/>
  <c r="H11" i="2"/>
  <c r="F11" i="2"/>
  <c r="H16" i="2"/>
  <c r="H15" i="2"/>
  <c r="H14" i="2"/>
  <c r="D17" i="2"/>
  <c r="F17" i="2"/>
  <c r="J11" i="3"/>
  <c r="J6" i="3"/>
  <c r="BX9" i="6" l="1"/>
  <c r="D7" i="1" s="1"/>
  <c r="H30" i="9"/>
  <c r="H31" i="9"/>
  <c r="F30" i="9"/>
  <c r="D30" i="9"/>
  <c r="J13" i="9"/>
  <c r="S8" i="1"/>
  <c r="S10" i="1" s="1"/>
  <c r="D17" i="1"/>
  <c r="H17" i="2"/>
  <c r="Q32" i="1"/>
  <c r="J25" i="9"/>
  <c r="F8" i="1" l="1"/>
  <c r="F10" i="1" s="1"/>
  <c r="F32" i="1" s="1"/>
  <c r="Q34" i="1" s="1"/>
  <c r="D8" i="1"/>
  <c r="D10" i="1" s="1"/>
  <c r="D30" i="1" s="1"/>
  <c r="H8" i="1"/>
  <c r="H10" i="1" s="1"/>
  <c r="H32" i="1" s="1"/>
  <c r="S32" i="1"/>
  <c r="S34" i="1" l="1"/>
  <c r="O10" i="1"/>
  <c r="O32" i="1" s="1"/>
  <c r="D32" i="1"/>
  <c r="O34" i="1" l="1"/>
  <c r="O40" i="1" s="1"/>
</calcChain>
</file>

<file path=xl/sharedStrings.xml><?xml version="1.0" encoding="utf-8"?>
<sst xmlns="http://schemas.openxmlformats.org/spreadsheetml/2006/main" count="280" uniqueCount="146">
  <si>
    <t>Lasten</t>
  </si>
  <si>
    <t>Totale lasten</t>
  </si>
  <si>
    <t>Baten</t>
  </si>
  <si>
    <t>Onttrekking reserves</t>
  </si>
  <si>
    <t>Totale baten</t>
  </si>
  <si>
    <t>begroting</t>
  </si>
  <si>
    <t>prognose</t>
  </si>
  <si>
    <t>Overige inkomsten</t>
  </si>
  <si>
    <t>Voorlichting</t>
  </si>
  <si>
    <t>Ruimtegebruik</t>
  </si>
  <si>
    <t>Kosten</t>
  </si>
  <si>
    <t>Activiteitenlasten</t>
  </si>
  <si>
    <t>opmerkingen</t>
  </si>
  <si>
    <t>grootboekrek</t>
  </si>
  <si>
    <t>Verenigingslasten</t>
  </si>
  <si>
    <t>Baten ledencontributie</t>
  </si>
  <si>
    <t>Opbrengsten</t>
  </si>
  <si>
    <t>Kosten werkgroep</t>
  </si>
  <si>
    <t xml:space="preserve">Kosten werkgroep </t>
  </si>
  <si>
    <t>Subsidies</t>
  </si>
  <si>
    <t>Activiteitenlasten Stadsdeel Oost</t>
  </si>
  <si>
    <t>Activiteitenlasten Stadsdeel West</t>
  </si>
  <si>
    <t>Activiteitenlasten Stadsdeel Nieuw-West</t>
  </si>
  <si>
    <t>Gemeente Amsterdam / Stadsdeel West</t>
  </si>
  <si>
    <t>Gemeente Amsterdam / Stadsdeel Nieuw West</t>
  </si>
  <si>
    <t>%</t>
  </si>
  <si>
    <t>nvt</t>
  </si>
  <si>
    <t>Inzet bestemmingsreserve ten bate van externe intitiatieven</t>
  </si>
  <si>
    <t>Directe lasten Thema's</t>
  </si>
  <si>
    <t>Baten Thema's</t>
  </si>
  <si>
    <t>7027, 8330</t>
  </si>
  <si>
    <t>Activiteitenlasten Stadsdeel Noord</t>
  </si>
  <si>
    <t>Activiteitenlasten Stadsdeel Zuid</t>
  </si>
  <si>
    <t>Activiteitenlasten Stadsdeel Zuidoost</t>
  </si>
  <si>
    <t>Gemeente Amsterdam / Stadsdeel Oost</t>
  </si>
  <si>
    <t>Activiteitenlasten overig Groot Amsterdam</t>
  </si>
  <si>
    <t>2e trimester</t>
  </si>
  <si>
    <t>Stadsambassadeurs 2018</t>
  </si>
  <si>
    <t>Weerbaarheidstrainingen</t>
  </si>
  <si>
    <t>Totale kosten Belangenbehartiging</t>
  </si>
  <si>
    <t>Totale opbrengsten Belangenbehartiging</t>
  </si>
  <si>
    <t>Ontmoeting, Empowerment &amp; Welzijn</t>
  </si>
  <si>
    <t>Onvoorziene kosten 2%</t>
  </si>
  <si>
    <t>zie aparte werkbladen</t>
  </si>
  <si>
    <t>Stadscoördinatoren</t>
  </si>
  <si>
    <t>Vrijwilligerskosten</t>
  </si>
  <si>
    <t>gbrek</t>
  </si>
  <si>
    <t>Inkomsten werkgroep</t>
  </si>
  <si>
    <t>Overige inkomsten: eigen bijdrages</t>
  </si>
  <si>
    <t>Overige inkomsten: subsidie</t>
  </si>
  <si>
    <t>Reiskosten deelnemers</t>
  </si>
  <si>
    <t>Promotiemateriaal</t>
  </si>
  <si>
    <t>Inzet bestemmingsreserve ten bate van interne intitiatieven</t>
  </si>
  <si>
    <t>Overige gebieden</t>
  </si>
  <si>
    <t>Overige kosten</t>
  </si>
  <si>
    <t>Opbrengsten: OCW subsidie weerbaarheid</t>
  </si>
  <si>
    <t>Organisatie- en bureaulasten</t>
  </si>
  <si>
    <t>Opbrengsten:</t>
  </si>
  <si>
    <t>Bijdrages scholen</t>
  </si>
  <si>
    <t>4400, 4420</t>
  </si>
  <si>
    <t>4430, 4610</t>
  </si>
  <si>
    <t>Baten Shakespeare Club</t>
  </si>
  <si>
    <t>Inzet bestemmingsreserve ten bate van communicatie</t>
  </si>
  <si>
    <t>Veiligheid &amp; Belangenbehartiging</t>
  </si>
  <si>
    <t>Inflatie</t>
  </si>
  <si>
    <t>Parameter</t>
  </si>
  <si>
    <t>Te Rekenen met</t>
  </si>
  <si>
    <t>(incl BTW)</t>
  </si>
  <si>
    <t>Opslagruimte DOC</t>
  </si>
  <si>
    <t>Opmerking</t>
  </si>
  <si>
    <t>Maandelijkse kosten C&amp;E</t>
  </si>
  <si>
    <t>Uurtarief externe ondersteuning</t>
  </si>
  <si>
    <t>Deel ontvangen legaat</t>
  </si>
  <si>
    <t>IN TE VULLEN</t>
  </si>
  <si>
    <t>Inkomsten Events</t>
  </si>
  <si>
    <t>Events</t>
  </si>
  <si>
    <t>Inkomsten reiskosten</t>
  </si>
  <si>
    <t>Activiteiten</t>
  </si>
  <si>
    <t>Budget 2024</t>
  </si>
  <si>
    <t>Prognose 2024</t>
  </si>
  <si>
    <t>COC NL</t>
  </si>
  <si>
    <t>5330, 5700??</t>
  </si>
  <si>
    <t>Inzet bestemmingsreserve Under Armour</t>
  </si>
  <si>
    <t>Verwacht resultaat</t>
  </si>
  <si>
    <t>Inzet bestemmingsreserve Shakespeare club</t>
  </si>
  <si>
    <t>Amsterdam Pink Panel (Stef)</t>
  </si>
  <si>
    <t>Amsterdam Oost (Hein, Marjan)</t>
  </si>
  <si>
    <t>Amsterdam Nieuw-West (Pim Ligtvoet)</t>
  </si>
  <si>
    <t>Almere (Mario)</t>
  </si>
  <si>
    <t>Amstelveen (Piet)</t>
  </si>
  <si>
    <t>Zuid (Michel)</t>
  </si>
  <si>
    <t xml:space="preserve">Veiligheid </t>
  </si>
  <si>
    <t>5310, 5350 (algemene kosten, vergader-bestuurskosten)</t>
  </si>
  <si>
    <t xml:space="preserve">4440,4410,4340, 4480, 4490, 4495 </t>
  </si>
  <si>
    <t>Gayle</t>
  </si>
  <si>
    <t>DOC bijeenkomsten per jaar</t>
  </si>
  <si>
    <t>Verwacht aantal deeln per keer</t>
  </si>
  <si>
    <t>Deel voor COC Ams</t>
  </si>
  <si>
    <t>Communicatie</t>
  </si>
  <si>
    <t xml:space="preserve">Leden </t>
  </si>
  <si>
    <t xml:space="preserve">Vrijwilligers </t>
  </si>
  <si>
    <t>Secretariaat</t>
  </si>
  <si>
    <t>IT</t>
  </si>
  <si>
    <t>Externe ondersteuning</t>
  </si>
  <si>
    <t>Overige bureaukosten</t>
  </si>
  <si>
    <t>Overige organisatiekosten</t>
  </si>
  <si>
    <t>Bijdrages aan externe initiatieven</t>
  </si>
  <si>
    <t xml:space="preserve">Lasten Shakespeare Club </t>
  </si>
  <si>
    <t>Inzet bestemmingsreserve tbv organisatie-ontwikkeling (legaat)</t>
  </si>
  <si>
    <t>Programma toekomst COC Amsterdam</t>
  </si>
  <si>
    <t>Ontwikkeling vermogen</t>
  </si>
  <si>
    <t>Verwachte stand 31 december 2024</t>
  </si>
  <si>
    <t>Waarde 2024</t>
  </si>
  <si>
    <t>Waarde 2025</t>
  </si>
  <si>
    <t>Kosten ruimte per bijeenkomst (DOC of anderszins)</t>
  </si>
  <si>
    <t>Aantal leden nov 2024</t>
  </si>
  <si>
    <t>Verwacht aantal leden gemiddeld 2025</t>
  </si>
  <si>
    <t>COC Amsterdam e.o. begroting 2025</t>
  </si>
  <si>
    <t>Budget 2025</t>
  </si>
  <si>
    <t>Stand 31 december 2023</t>
  </si>
  <si>
    <t>Verwachte stand 31 december 2025</t>
  </si>
  <si>
    <t>Ontmoeting, Empowerment &amp; Welzijn 2025</t>
  </si>
  <si>
    <t>COC Senioren</t>
  </si>
  <si>
    <t>Jong &amp; Out</t>
  </si>
  <si>
    <t>Café Oke</t>
  </si>
  <si>
    <t>Auti-Roze</t>
  </si>
  <si>
    <t>Wereldcafe</t>
  </si>
  <si>
    <t>Cocktail</t>
  </si>
  <si>
    <t>Levensbeschouwing</t>
  </si>
  <si>
    <t>Begroting 2025</t>
  </si>
  <si>
    <t>Contributie COC</t>
  </si>
  <si>
    <t>Voorlichting 2025</t>
  </si>
  <si>
    <t>Veiligheid &amp; Belangenbehartiging 2025</t>
  </si>
  <si>
    <t>Expreszo (YoungPlus)</t>
  </si>
  <si>
    <t>Bijdrage Vondel Huur</t>
  </si>
  <si>
    <t>Begroting 2024</t>
  </si>
  <si>
    <t>Bijdrage Vondel Huur DOC</t>
  </si>
  <si>
    <t>Totaal bijeenkomsten DOC</t>
  </si>
  <si>
    <t>Bijdrage Vondel Huur DOC per bijeenkomst</t>
  </si>
  <si>
    <t>DOC bijeenkosten</t>
  </si>
  <si>
    <t>Gepland 2024</t>
  </si>
  <si>
    <t>Gepland 2025</t>
  </si>
  <si>
    <t>Voorstel AV COC nov 2024</t>
  </si>
  <si>
    <t>Prognose 2024: stand 31 oktober + 2 maand</t>
  </si>
  <si>
    <t>Centrum</t>
  </si>
  <si>
    <t>(Definitief voorstel 2024-11-27)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</si>
</sst>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_-* #,##0_-;_-* #,##0\-;_-* &quot;-&quot;_-;_-@_-"/>
    <numFmt numFmtId="165" formatCode="&quot;€&quot;\ #,##0.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7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" fillId="0" borderId="2" xfId="0" applyNumberFormat="1" applyFont="1" applyBorder="1"/>
    <xf numFmtId="0" fontId="8" fillId="0" borderId="0" xfId="0" applyFont="1"/>
    <xf numFmtId="0" fontId="3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9" fontId="0" fillId="0" borderId="0" xfId="0" applyNumberFormat="1"/>
    <xf numFmtId="9" fontId="4" fillId="0" borderId="0" xfId="0" applyNumberFormat="1" applyFont="1"/>
    <xf numFmtId="9" fontId="1" fillId="0" borderId="0" xfId="0" applyNumberFormat="1" applyFont="1"/>
    <xf numFmtId="9" fontId="5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164" fontId="5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12" fillId="0" borderId="0" xfId="0" applyNumberFormat="1" applyFont="1"/>
    <xf numFmtId="164" fontId="13" fillId="0" borderId="0" xfId="0" applyNumberFormat="1" applyFont="1"/>
    <xf numFmtId="164" fontId="12" fillId="0" borderId="2" xfId="0" applyNumberFormat="1" applyFont="1" applyBorder="1"/>
    <xf numFmtId="164" fontId="14" fillId="0" borderId="0" xfId="0" applyNumberFormat="1" applyFont="1"/>
    <xf numFmtId="164" fontId="15" fillId="0" borderId="0" xfId="0" applyNumberFormat="1" applyFont="1"/>
    <xf numFmtId="0" fontId="14" fillId="0" borderId="0" xfId="0" applyFont="1"/>
    <xf numFmtId="164" fontId="1" fillId="0" borderId="1" xfId="0" applyNumberFormat="1" applyFont="1" applyBorder="1"/>
    <xf numFmtId="165" fontId="0" fillId="0" borderId="0" xfId="0" applyNumberFormat="1"/>
    <xf numFmtId="8" fontId="0" fillId="0" borderId="0" xfId="0" applyNumberFormat="1"/>
    <xf numFmtId="0" fontId="16" fillId="0" borderId="0" xfId="0" applyFont="1"/>
    <xf numFmtId="0" fontId="0" fillId="2" borderId="0" xfId="0" applyFill="1"/>
    <xf numFmtId="10" fontId="0" fillId="0" borderId="0" xfId="0" applyNumberFormat="1"/>
    <xf numFmtId="3" fontId="3" fillId="0" borderId="0" xfId="0" applyNumberFormat="1" applyFont="1"/>
    <xf numFmtId="164" fontId="1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5" fontId="0" fillId="0" borderId="0" xfId="0" applyNumberFormat="1"/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" fontId="14" fillId="0" borderId="0" xfId="0" applyNumberFormat="1" applyFont="1"/>
  </cellXfs>
  <cellStyles count="127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6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Gevolgde hyperlink" xfId="394" builtinId="9" hidden="1"/>
    <cellStyle name="Gevolgde hyperlink" xfId="396" builtinId="9" hidden="1"/>
    <cellStyle name="Gevolgde hyperlink" xfId="398" builtinId="9" hidden="1"/>
    <cellStyle name="Gevolgde hyperlink" xfId="400" builtinId="9" hidden="1"/>
    <cellStyle name="Gevolgde hyperlink" xfId="402" builtinId="9" hidden="1"/>
    <cellStyle name="Gevolgde hyperlink" xfId="404" builtinId="9" hidden="1"/>
    <cellStyle name="Gevolgde hyperlink" xfId="406" builtinId="9" hidden="1"/>
    <cellStyle name="Gevolgde hyperlink" xfId="408" builtinId="9" hidden="1"/>
    <cellStyle name="Gevolgde hyperlink" xfId="410" builtinId="9" hidden="1"/>
    <cellStyle name="Gevolgde hyperlink" xfId="412" builtinId="9" hidden="1"/>
    <cellStyle name="Gevolgde hyperlink" xfId="414" builtinId="9" hidden="1"/>
    <cellStyle name="Gevolgde hyperlink" xfId="416" builtinId="9" hidden="1"/>
    <cellStyle name="Gevolgde hyperlink" xfId="418" builtinId="9" hidden="1"/>
    <cellStyle name="Gevolgde hyperlink" xfId="420" builtinId="9" hidden="1"/>
    <cellStyle name="Gevolgde hyperlink" xfId="422" builtinId="9" hidden="1"/>
    <cellStyle name="Gevolgde hyperlink" xfId="424" builtinId="9" hidden="1"/>
    <cellStyle name="Gevolgde hyperlink" xfId="426" builtinId="9" hidden="1"/>
    <cellStyle name="Gevolgde hyperlink" xfId="428" builtinId="9" hidden="1"/>
    <cellStyle name="Gevolgde hyperlink" xfId="430" builtinId="9" hidden="1"/>
    <cellStyle name="Gevolgde hyperlink" xfId="432" builtinId="9" hidden="1"/>
    <cellStyle name="Gevolgde hyperlink" xfId="434" builtinId="9" hidden="1"/>
    <cellStyle name="Gevolgde hyperlink" xfId="436" builtinId="9" hidden="1"/>
    <cellStyle name="Gevolgde hyperlink" xfId="438" builtinId="9" hidden="1"/>
    <cellStyle name="Gevolgde hyperlink" xfId="440" builtinId="9" hidden="1"/>
    <cellStyle name="Gevolgde hyperlink" xfId="442" builtinId="9" hidden="1"/>
    <cellStyle name="Gevolgde hyperlink" xfId="444" builtinId="9" hidden="1"/>
    <cellStyle name="Gevolgde hyperlink" xfId="446" builtinId="9" hidden="1"/>
    <cellStyle name="Gevolgde hyperlink" xfId="448" builtinId="9" hidden="1"/>
    <cellStyle name="Gevolgde hyperlink" xfId="450" builtinId="9" hidden="1"/>
    <cellStyle name="Gevolgde hyperlink" xfId="452" builtinId="9" hidden="1"/>
    <cellStyle name="Gevolgde hyperlink" xfId="454" builtinId="9" hidden="1"/>
    <cellStyle name="Gevolgde hyperlink" xfId="456" builtinId="9" hidden="1"/>
    <cellStyle name="Gevolgde hyperlink" xfId="458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Gevolgde hyperlink" xfId="940" builtinId="9" hidden="1"/>
    <cellStyle name="Gevolgde hyperlink" xfId="942" builtinId="9" hidden="1"/>
    <cellStyle name="Gevolgde hyperlink" xfId="944" builtinId="9" hidden="1"/>
    <cellStyle name="Gevolgde hyperlink" xfId="946" builtinId="9" hidden="1"/>
    <cellStyle name="Gevolgde hyperlink" xfId="948" builtinId="9" hidden="1"/>
    <cellStyle name="Gevolgde hyperlink" xfId="950" builtinId="9" hidden="1"/>
    <cellStyle name="Gevolgde hyperlink" xfId="952" builtinId="9" hidden="1"/>
    <cellStyle name="Gevolgde hyperlink" xfId="954" builtinId="9" hidden="1"/>
    <cellStyle name="Gevolgde hyperlink" xfId="956" builtinId="9" hidden="1"/>
    <cellStyle name="Gevolgde hyperlink" xfId="958" builtinId="9" hidden="1"/>
    <cellStyle name="Gevolgde hyperlink" xfId="960" builtinId="9" hidden="1"/>
    <cellStyle name="Gevolgde hyperlink" xfId="962" builtinId="9" hidden="1"/>
    <cellStyle name="Gevolgde hyperlink" xfId="964" builtinId="9" hidden="1"/>
    <cellStyle name="Gevolgde hyperlink" xfId="966" builtinId="9" hidden="1"/>
    <cellStyle name="Gevolgde hyperlink" xfId="968" builtinId="9" hidden="1"/>
    <cellStyle name="Gevolgde hyperlink" xfId="970" builtinId="9" hidden="1"/>
    <cellStyle name="Gevolgde hyperlink" xfId="972" builtinId="9" hidden="1"/>
    <cellStyle name="Gevolgde hyperlink" xfId="974" builtinId="9" hidden="1"/>
    <cellStyle name="Gevolgde hyperlink" xfId="976" builtinId="9" hidden="1"/>
    <cellStyle name="Gevolgde hyperlink" xfId="978" builtinId="9" hidden="1"/>
    <cellStyle name="Gevolgde hyperlink" xfId="980" builtinId="9" hidden="1"/>
    <cellStyle name="Gevolgde hyperlink" xfId="982" builtinId="9" hidden="1"/>
    <cellStyle name="Gevolgde hyperlink" xfId="984" builtinId="9" hidden="1"/>
    <cellStyle name="Gevolgde hyperlink" xfId="986" builtinId="9" hidden="1"/>
    <cellStyle name="Gevolgde hyperlink" xfId="988" builtinId="9" hidden="1"/>
    <cellStyle name="Gevolgde hyperlink" xfId="990" builtinId="9" hidden="1"/>
    <cellStyle name="Gevolgde hyperlink" xfId="992" builtinId="9" hidden="1"/>
    <cellStyle name="Gevolgde hyperlink" xfId="994" builtinId="9" hidden="1"/>
    <cellStyle name="Gevolgde hyperlink" xfId="996" builtinId="9" hidden="1"/>
    <cellStyle name="Gevolgde hyperlink" xfId="998" builtinId="9" hidden="1"/>
    <cellStyle name="Gevolgde hyperlink" xfId="1000" builtinId="9" hidden="1"/>
    <cellStyle name="Gevolgde hyperlink" xfId="1002" builtinId="9" hidden="1"/>
    <cellStyle name="Gevolgde hyperlink" xfId="1004" builtinId="9" hidden="1"/>
    <cellStyle name="Gevolgde hyperlink" xfId="1006" builtinId="9" hidden="1"/>
    <cellStyle name="Gevolgde hyperlink" xfId="1008" builtinId="9" hidden="1"/>
    <cellStyle name="Gevolgde hyperlink" xfId="1010" builtinId="9" hidden="1"/>
    <cellStyle name="Gevolgde hyperlink" xfId="1012" builtinId="9" hidden="1"/>
    <cellStyle name="Gevolgde hyperlink" xfId="1014" builtinId="9" hidden="1"/>
    <cellStyle name="Gevolgde hyperlink" xfId="1016" builtinId="9" hidden="1"/>
    <cellStyle name="Gevolgde hyperlink" xfId="1018" builtinId="9" hidden="1"/>
    <cellStyle name="Gevolgde hyperlink" xfId="1020" builtinId="9" hidden="1"/>
    <cellStyle name="Gevolgde hyperlink" xfId="1022" builtinId="9" hidden="1"/>
    <cellStyle name="Gevolgde hyperlink" xfId="1024" builtinId="9" hidden="1"/>
    <cellStyle name="Gevolgde hyperlink" xfId="1026" builtinId="9" hidden="1"/>
    <cellStyle name="Gevolgde hyperlink" xfId="1028" builtinId="9" hidden="1"/>
    <cellStyle name="Gevolgde hyperlink" xfId="1030" builtinId="9" hidden="1"/>
    <cellStyle name="Gevolgde hyperlink" xfId="1032" builtinId="9" hidden="1"/>
    <cellStyle name="Gevolgde hyperlink" xfId="1034" builtinId="9" hidden="1"/>
    <cellStyle name="Gevolgde hyperlink" xfId="1036" builtinId="9" hidden="1"/>
    <cellStyle name="Gevolgde hyperlink" xfId="1038" builtinId="9" hidden="1"/>
    <cellStyle name="Gevolgde hyperlink" xfId="1040" builtinId="9" hidden="1"/>
    <cellStyle name="Gevolgde hyperlink" xfId="1042" builtinId="9" hidden="1"/>
    <cellStyle name="Gevolgde hyperlink" xfId="1044" builtinId="9" hidden="1"/>
    <cellStyle name="Gevolgde hyperlink" xfId="1046" builtinId="9" hidden="1"/>
    <cellStyle name="Gevolgde hyperlink" xfId="1048" builtinId="9" hidden="1"/>
    <cellStyle name="Gevolgde hyperlink" xfId="1050" builtinId="9" hidden="1"/>
    <cellStyle name="Gevolgde hyperlink" xfId="1052" builtinId="9" hidden="1"/>
    <cellStyle name="Gevolgde hyperlink" xfId="1054" builtinId="9" hidden="1"/>
    <cellStyle name="Gevolgde hyperlink" xfId="1056" builtinId="9" hidden="1"/>
    <cellStyle name="Gevolgde hyperlink" xfId="1058" builtinId="9" hidden="1"/>
    <cellStyle name="Gevolgde hyperlink" xfId="1060" builtinId="9" hidden="1"/>
    <cellStyle name="Gevolgde hyperlink" xfId="1062" builtinId="9" hidden="1"/>
    <cellStyle name="Gevolgde hyperlink" xfId="1064" builtinId="9" hidden="1"/>
    <cellStyle name="Gevolgde hyperlink" xfId="1066" builtinId="9" hidden="1"/>
    <cellStyle name="Gevolgde hyperlink" xfId="1068" builtinId="9" hidden="1"/>
    <cellStyle name="Gevolgde hyperlink" xfId="1070" builtinId="9" hidden="1"/>
    <cellStyle name="Gevolgde hyperlink" xfId="1072" builtinId="9" hidden="1"/>
    <cellStyle name="Gevolgde hyperlink" xfId="1074" builtinId="9" hidden="1"/>
    <cellStyle name="Gevolgde hyperlink" xfId="1076" builtinId="9" hidden="1"/>
    <cellStyle name="Gevolgde hyperlink" xfId="1078" builtinId="9" hidden="1"/>
    <cellStyle name="Gevolgde hyperlink" xfId="1080" builtinId="9" hidden="1"/>
    <cellStyle name="Gevolgde hyperlink" xfId="1082" builtinId="9" hidden="1"/>
    <cellStyle name="Gevolgde hyperlink" xfId="1084" builtinId="9" hidden="1"/>
    <cellStyle name="Gevolgde hyperlink" xfId="1086" builtinId="9" hidden="1"/>
    <cellStyle name="Gevolgde hyperlink" xfId="1088" builtinId="9" hidden="1"/>
    <cellStyle name="Gevolgde hyperlink" xfId="1090" builtinId="9" hidden="1"/>
    <cellStyle name="Gevolgde hyperlink" xfId="1092" builtinId="9" hidden="1"/>
    <cellStyle name="Gevolgde hyperlink" xfId="1094" builtinId="9" hidden="1"/>
    <cellStyle name="Gevolgde hyperlink" xfId="1096" builtinId="9" hidden="1"/>
    <cellStyle name="Gevolgde hyperlink" xfId="1098" builtinId="9" hidden="1"/>
    <cellStyle name="Gevolgde hyperlink" xfId="1100" builtinId="9" hidden="1"/>
    <cellStyle name="Gevolgde hyperlink" xfId="1102" builtinId="9" hidden="1"/>
    <cellStyle name="Gevolgde hyperlink" xfId="1104" builtinId="9" hidden="1"/>
    <cellStyle name="Gevolgde hyperlink" xfId="1106" builtinId="9" hidden="1"/>
    <cellStyle name="Gevolgde hyperlink" xfId="1108" builtinId="9" hidden="1"/>
    <cellStyle name="Gevolgde hyperlink" xfId="1110" builtinId="9" hidden="1"/>
    <cellStyle name="Gevolgde hyperlink" xfId="1112" builtinId="9" hidden="1"/>
    <cellStyle name="Gevolgde hyperlink" xfId="1114" builtinId="9" hidden="1"/>
    <cellStyle name="Gevolgde hyperlink" xfId="1116" builtinId="9" hidden="1"/>
    <cellStyle name="Gevolgde hyperlink" xfId="1118" builtinId="9" hidden="1"/>
    <cellStyle name="Gevolgde hyperlink" xfId="1120" builtinId="9" hidden="1"/>
    <cellStyle name="Gevolgde hyperlink" xfId="1122" builtinId="9" hidden="1"/>
    <cellStyle name="Gevolgde hyperlink" xfId="1124" builtinId="9" hidden="1"/>
    <cellStyle name="Gevolgde hyperlink" xfId="1126" builtinId="9" hidden="1"/>
    <cellStyle name="Gevolgde hyperlink" xfId="1128" builtinId="9" hidden="1"/>
    <cellStyle name="Gevolgde hyperlink" xfId="1130" builtinId="9" hidden="1"/>
    <cellStyle name="Gevolgde hyperlink" xfId="1132" builtinId="9" hidden="1"/>
    <cellStyle name="Gevolgde hyperlink" xfId="1134" builtinId="9" hidden="1"/>
    <cellStyle name="Gevolgde hyperlink" xfId="1136" builtinId="9" hidden="1"/>
    <cellStyle name="Gevolgde hyperlink" xfId="1138" builtinId="9" hidden="1"/>
    <cellStyle name="Gevolgde hyperlink" xfId="1140" builtinId="9" hidden="1"/>
    <cellStyle name="Gevolgde hyperlink" xfId="1142" builtinId="9" hidden="1"/>
    <cellStyle name="Gevolgde hyperlink" xfId="1144" builtinId="9" hidden="1"/>
    <cellStyle name="Gevolgde hyperlink" xfId="1146" builtinId="9" hidden="1"/>
    <cellStyle name="Gevolgde hyperlink" xfId="1148" builtinId="9" hidden="1"/>
    <cellStyle name="Gevolgde hyperlink" xfId="1150" builtinId="9" hidden="1"/>
    <cellStyle name="Gevolgde hyperlink" xfId="1152" builtinId="9" hidden="1"/>
    <cellStyle name="Gevolgde hyperlink" xfId="1154" builtinId="9" hidden="1"/>
    <cellStyle name="Gevolgde hyperlink" xfId="1156" builtinId="9" hidden="1"/>
    <cellStyle name="Gevolgde hyperlink" xfId="1158" builtinId="9" hidden="1"/>
    <cellStyle name="Gevolgde hyperlink" xfId="1160" builtinId="9" hidden="1"/>
    <cellStyle name="Gevolgde hyperlink" xfId="1162" builtinId="9" hidden="1"/>
    <cellStyle name="Gevolgde hyperlink" xfId="1164" builtinId="9" hidden="1"/>
    <cellStyle name="Gevolgde hyperlink" xfId="1166" builtinId="9" hidden="1"/>
    <cellStyle name="Gevolgde hyperlink" xfId="1168" builtinId="9" hidden="1"/>
    <cellStyle name="Gevolgde hyperlink" xfId="1170" builtinId="9" hidden="1"/>
    <cellStyle name="Gevolgde hyperlink" xfId="1172" builtinId="9" hidden="1"/>
    <cellStyle name="Gevolgde hyperlink" xfId="1174" builtinId="9" hidden="1"/>
    <cellStyle name="Gevolgde hyperlink" xfId="1176" builtinId="9" hidden="1"/>
    <cellStyle name="Gevolgde hyperlink" xfId="1178" builtinId="9" hidden="1"/>
    <cellStyle name="Gevolgde hyperlink" xfId="1180" builtinId="9" hidden="1"/>
    <cellStyle name="Gevolgde hyperlink" xfId="1182" builtinId="9" hidden="1"/>
    <cellStyle name="Gevolgde hyperlink" xfId="1184" builtinId="9" hidden="1"/>
    <cellStyle name="Gevolgde hyperlink" xfId="1186" builtinId="9" hidden="1"/>
    <cellStyle name="Gevolgde hyperlink" xfId="1188" builtinId="9" hidden="1"/>
    <cellStyle name="Gevolgde hyperlink" xfId="1190" builtinId="9" hidden="1"/>
    <cellStyle name="Gevolgde hyperlink" xfId="1192" builtinId="9" hidden="1"/>
    <cellStyle name="Gevolgde hyperlink" xfId="1194" builtinId="9" hidden="1"/>
    <cellStyle name="Gevolgde hyperlink" xfId="1196" builtinId="9" hidden="1"/>
    <cellStyle name="Gevolgde hyperlink" xfId="1198" builtinId="9" hidden="1"/>
    <cellStyle name="Gevolgde hyperlink" xfId="1200" builtinId="9" hidden="1"/>
    <cellStyle name="Gevolgde hyperlink" xfId="1202" builtinId="9" hidden="1"/>
    <cellStyle name="Gevolgde hyperlink" xfId="1204" builtinId="9" hidden="1"/>
    <cellStyle name="Gevolgde hyperlink" xfId="1206" builtinId="9" hidden="1"/>
    <cellStyle name="Gevolgde hyperlink" xfId="1208" builtinId="9" hidden="1"/>
    <cellStyle name="Gevolgde hyperlink" xfId="1210" builtinId="9" hidden="1"/>
    <cellStyle name="Gevolgde hyperlink" xfId="1212" builtinId="9" hidden="1"/>
    <cellStyle name="Gevolgde hyperlink" xfId="1214" builtinId="9" hidden="1"/>
    <cellStyle name="Gevolgde hyperlink" xfId="1216" builtinId="9" hidden="1"/>
    <cellStyle name="Gevolgde hyperlink" xfId="1218" builtinId="9" hidden="1"/>
    <cellStyle name="Gevolgde hyperlink" xfId="1220" builtinId="9" hidden="1"/>
    <cellStyle name="Gevolgde hyperlink" xfId="1222" builtinId="9" hidden="1"/>
    <cellStyle name="Gevolgde hyperlink" xfId="1224" builtinId="9" hidden="1"/>
    <cellStyle name="Gevolgde hyperlink" xfId="1226" builtinId="9" hidden="1"/>
    <cellStyle name="Gevolgde hyperlink" xfId="1228" builtinId="9" hidden="1"/>
    <cellStyle name="Gevolgde hyperlink" xfId="1230" builtinId="9" hidden="1"/>
    <cellStyle name="Gevolgde hyperlink" xfId="1232" builtinId="9" hidden="1"/>
    <cellStyle name="Gevolgde hyperlink" xfId="1234" builtinId="9" hidden="1"/>
    <cellStyle name="Gevolgde hyperlink" xfId="1236" builtinId="9" hidden="1"/>
    <cellStyle name="Gevolgde hyperlink" xfId="1238" builtinId="9" hidden="1"/>
    <cellStyle name="Gevolgde hyperlink" xfId="1240" builtinId="9" hidden="1"/>
    <cellStyle name="Gevolgde hyperlink" xfId="1242" builtinId="9" hidden="1"/>
    <cellStyle name="Gevolgde hyperlink" xfId="1244" builtinId="9" hidden="1"/>
    <cellStyle name="Gevolgde hyperlink" xfId="1246" builtinId="9" hidden="1"/>
    <cellStyle name="Gevolgde hyperlink" xfId="1248" builtinId="9" hidden="1"/>
    <cellStyle name="Gevolgde hyperlink" xfId="1250" builtinId="9" hidden="1"/>
    <cellStyle name="Gevolgde hyperlink" xfId="1252" builtinId="9" hidden="1"/>
    <cellStyle name="Gevolgde hyperlink" xfId="1254" builtinId="9" hidden="1"/>
    <cellStyle name="Gevolgde hyperlink" xfId="1256" builtinId="9" hidden="1"/>
    <cellStyle name="Gevolgde hyperlink" xfId="1258" builtinId="9" hidden="1"/>
    <cellStyle name="Gevolgde hyperlink" xfId="1260" builtinId="9" hidden="1"/>
    <cellStyle name="Gevolgde hyperlink" xfId="1262" builtinId="9" hidden="1"/>
    <cellStyle name="Gevolgde hyperlink" xfId="1264" builtinId="9" hidden="1"/>
    <cellStyle name="Gevolgde hyperlink" xfId="1266" builtinId="9" hidden="1"/>
    <cellStyle name="Gevolgde hyperlink" xfId="1268" builtinId="9" hidden="1"/>
    <cellStyle name="Gevolgde hyperlink" xfId="12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822F-1CDC-476B-B162-3D8D286EA9BE}">
  <sheetPr>
    <pageSetUpPr fitToPage="1"/>
  </sheetPr>
  <dimension ref="A1:E15"/>
  <sheetViews>
    <sheetView workbookViewId="0">
      <selection activeCell="A9" sqref="A9"/>
    </sheetView>
  </sheetViews>
  <sheetFormatPr defaultRowHeight="15.75" x14ac:dyDescent="0.25"/>
  <cols>
    <col min="1" max="1" width="43.25" customWidth="1"/>
    <col min="2" max="2" width="11.75" customWidth="1"/>
    <col min="3" max="3" width="12.625" customWidth="1"/>
    <col min="4" max="4" width="15.5" customWidth="1"/>
  </cols>
  <sheetData>
    <row r="1" spans="1:5" x14ac:dyDescent="0.25">
      <c r="A1" s="41" t="s">
        <v>73</v>
      </c>
    </row>
    <row r="2" spans="1:5" x14ac:dyDescent="0.25">
      <c r="A2" s="1" t="s">
        <v>65</v>
      </c>
      <c r="B2" s="1" t="s">
        <v>112</v>
      </c>
      <c r="C2" s="1" t="s">
        <v>113</v>
      </c>
      <c r="D2" s="1" t="s">
        <v>66</v>
      </c>
      <c r="E2" s="1" t="s">
        <v>69</v>
      </c>
    </row>
    <row r="3" spans="1:5" x14ac:dyDescent="0.25">
      <c r="A3" t="s">
        <v>64</v>
      </c>
      <c r="B3" s="18">
        <v>0.05</v>
      </c>
      <c r="C3" s="18">
        <v>0.05</v>
      </c>
      <c r="D3" s="18">
        <f>1+C3</f>
        <v>1.05</v>
      </c>
    </row>
    <row r="4" spans="1:5" x14ac:dyDescent="0.25">
      <c r="A4" t="s">
        <v>68</v>
      </c>
      <c r="B4" s="39">
        <v>131</v>
      </c>
      <c r="C4" s="39">
        <v>135</v>
      </c>
      <c r="D4" s="38">
        <f>C4</f>
        <v>135</v>
      </c>
      <c r="E4" t="s">
        <v>67</v>
      </c>
    </row>
    <row r="5" spans="1:5" x14ac:dyDescent="0.25">
      <c r="A5" t="s">
        <v>114</v>
      </c>
      <c r="B5" s="39">
        <v>185</v>
      </c>
      <c r="C5" s="39">
        <v>187</v>
      </c>
      <c r="D5" s="38">
        <f>C5</f>
        <v>187</v>
      </c>
      <c r="E5" t="s">
        <v>67</v>
      </c>
    </row>
    <row r="6" spans="1:5" x14ac:dyDescent="0.25">
      <c r="A6" t="s">
        <v>70</v>
      </c>
      <c r="B6" s="38">
        <v>130</v>
      </c>
      <c r="C6" s="38">
        <v>140</v>
      </c>
      <c r="D6" s="38">
        <f>C6*1.21</f>
        <v>169.4</v>
      </c>
      <c r="E6" t="s">
        <v>67</v>
      </c>
    </row>
    <row r="7" spans="1:5" x14ac:dyDescent="0.25">
      <c r="A7" t="s">
        <v>71</v>
      </c>
      <c r="B7" s="39">
        <v>70</v>
      </c>
      <c r="C7" s="39">
        <v>70</v>
      </c>
      <c r="D7" s="39">
        <f>B7*1.12</f>
        <v>78.400000000000006</v>
      </c>
      <c r="E7" t="s">
        <v>67</v>
      </c>
    </row>
    <row r="8" spans="1:5" x14ac:dyDescent="0.25">
      <c r="A8" t="s">
        <v>143</v>
      </c>
      <c r="B8" s="42">
        <f>2/12</f>
        <v>0.16666666666666666</v>
      </c>
      <c r="C8" s="42">
        <f>2/12</f>
        <v>0.16666666666666666</v>
      </c>
      <c r="D8" s="42">
        <f>1+B8</f>
        <v>1.1666666666666667</v>
      </c>
    </row>
    <row r="9" spans="1:5" x14ac:dyDescent="0.25">
      <c r="A9" t="s">
        <v>130</v>
      </c>
      <c r="B9" s="39">
        <v>49.5</v>
      </c>
      <c r="C9" s="39">
        <v>49.5</v>
      </c>
      <c r="D9" s="39">
        <f>C9</f>
        <v>49.5</v>
      </c>
      <c r="E9" t="s">
        <v>142</v>
      </c>
    </row>
    <row r="10" spans="1:5" x14ac:dyDescent="0.25">
      <c r="A10" t="s">
        <v>97</v>
      </c>
      <c r="B10" s="18">
        <v>0.6</v>
      </c>
      <c r="C10" s="18"/>
      <c r="D10" s="39">
        <f>D9*B10</f>
        <v>29.7</v>
      </c>
    </row>
    <row r="11" spans="1:5" x14ac:dyDescent="0.25">
      <c r="A11" t="s">
        <v>115</v>
      </c>
    </row>
    <row r="12" spans="1:5" x14ac:dyDescent="0.25">
      <c r="A12" t="s">
        <v>116</v>
      </c>
    </row>
    <row r="13" spans="1:5" x14ac:dyDescent="0.25">
      <c r="A13" t="s">
        <v>136</v>
      </c>
      <c r="B13" s="38">
        <v>11343</v>
      </c>
      <c r="C13" s="38">
        <v>11500</v>
      </c>
      <c r="D13" s="38">
        <f>C13</f>
        <v>11500</v>
      </c>
    </row>
    <row r="14" spans="1:5" x14ac:dyDescent="0.25">
      <c r="A14" t="s">
        <v>137</v>
      </c>
      <c r="B14">
        <f>'ontmoeting-empowerment-welzijn'!BX5</f>
        <v>73</v>
      </c>
      <c r="C14">
        <f>'ontmoeting-empowerment-welzijn'!BX6</f>
        <v>77</v>
      </c>
    </row>
    <row r="15" spans="1:5" x14ac:dyDescent="0.25">
      <c r="A15" t="s">
        <v>138</v>
      </c>
      <c r="B15" s="39">
        <f>B13/B14</f>
        <v>155.38356164383561</v>
      </c>
      <c r="C15" s="39">
        <f>C13/C14</f>
        <v>149.35064935064935</v>
      </c>
      <c r="D15" s="39">
        <f>C15</f>
        <v>149.35064935064935</v>
      </c>
    </row>
  </sheetData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zoomScale="80" zoomScaleNormal="80" workbookViewId="0">
      <selection activeCell="D41" sqref="D41"/>
    </sheetView>
  </sheetViews>
  <sheetFormatPr defaultColWidth="10.875" defaultRowHeight="15.75" x14ac:dyDescent="0.25"/>
  <cols>
    <col min="1" max="1" width="51" customWidth="1"/>
    <col min="2" max="2" width="33" style="3" hidden="1" customWidth="1"/>
    <col min="3" max="3" width="1.5" customWidth="1"/>
    <col min="4" max="4" width="10.875" style="25" customWidth="1"/>
    <col min="5" max="5" width="1.875" style="25" customWidth="1"/>
    <col min="6" max="6" width="10.375" style="25" customWidth="1"/>
    <col min="7" max="7" width="2.25" style="25" customWidth="1"/>
    <col min="8" max="8" width="11.375" style="25" customWidth="1"/>
    <col min="9" max="9" width="5.875" customWidth="1"/>
    <col min="10" max="10" width="20.875" hidden="1" customWidth="1"/>
    <col min="11" max="11" width="5.875" customWidth="1"/>
    <col min="12" max="12" width="56.625" customWidth="1"/>
    <col min="13" max="13" width="8.625" hidden="1" customWidth="1"/>
    <col min="14" max="14" width="1.125" customWidth="1"/>
    <col min="15" max="15" width="10.875" style="25"/>
    <col min="16" max="16" width="2" style="25" customWidth="1"/>
    <col min="17" max="17" width="10.875" style="25" customWidth="1"/>
    <col min="18" max="18" width="1.625" style="25" customWidth="1"/>
    <col min="19" max="19" width="10.875" style="25" customWidth="1"/>
    <col min="20" max="20" width="5.875" customWidth="1"/>
    <col min="21" max="21" width="20.875" hidden="1" customWidth="1"/>
    <col min="22" max="22" width="5.875" customWidth="1"/>
  </cols>
  <sheetData>
    <row r="1" spans="1:22" s="1" customFormat="1" ht="21" x14ac:dyDescent="0.35">
      <c r="A1" s="40" t="s">
        <v>117</v>
      </c>
      <c r="B1" s="4"/>
      <c r="D1" s="25"/>
      <c r="E1" s="25"/>
      <c r="F1" s="25"/>
      <c r="G1" s="22"/>
      <c r="H1" s="25"/>
      <c r="O1" s="22"/>
      <c r="P1" s="22"/>
      <c r="Q1" s="22"/>
      <c r="R1" s="22"/>
      <c r="S1" s="22"/>
    </row>
    <row r="2" spans="1:22" s="1" customFormat="1" ht="21" x14ac:dyDescent="0.35">
      <c r="A2" s="40" t="s">
        <v>145</v>
      </c>
      <c r="B2" s="4"/>
      <c r="D2" s="25"/>
      <c r="E2" s="25"/>
      <c r="F2" s="25"/>
      <c r="G2" s="22"/>
      <c r="H2" s="25"/>
      <c r="O2" s="22"/>
      <c r="P2" s="22"/>
      <c r="Q2" s="22"/>
      <c r="R2" s="22"/>
      <c r="S2" s="22"/>
    </row>
    <row r="3" spans="1:22" ht="31.5" x14ac:dyDescent="0.25">
      <c r="B3" s="3" t="s">
        <v>13</v>
      </c>
      <c r="D3" s="48" t="s">
        <v>118</v>
      </c>
      <c r="E3" s="48"/>
      <c r="F3" s="48" t="s">
        <v>78</v>
      </c>
      <c r="G3" s="49"/>
      <c r="H3" s="48" t="s">
        <v>79</v>
      </c>
      <c r="I3" s="46"/>
      <c r="J3" s="50" t="s">
        <v>12</v>
      </c>
      <c r="K3" s="46"/>
      <c r="L3" s="46"/>
      <c r="M3" s="51" t="s">
        <v>13</v>
      </c>
      <c r="N3" s="46"/>
      <c r="O3" s="48" t="s">
        <v>118</v>
      </c>
      <c r="P3" s="48"/>
      <c r="Q3" s="48" t="s">
        <v>78</v>
      </c>
      <c r="R3" s="49"/>
      <c r="S3" s="48" t="s">
        <v>79</v>
      </c>
      <c r="U3" s="5" t="s">
        <v>12</v>
      </c>
    </row>
    <row r="4" spans="1:22" s="2" customFormat="1" x14ac:dyDescent="0.25">
      <c r="A4" s="2" t="s">
        <v>0</v>
      </c>
      <c r="B4" s="14"/>
      <c r="D4" s="24"/>
      <c r="E4" s="24"/>
      <c r="F4" s="24"/>
      <c r="G4" s="24"/>
      <c r="H4" s="24"/>
      <c r="L4" s="2" t="s">
        <v>2</v>
      </c>
      <c r="M4" s="14"/>
      <c r="O4" s="24"/>
      <c r="P4" s="25"/>
      <c r="Q4" s="25"/>
      <c r="R4" s="25"/>
      <c r="S4" s="25"/>
      <c r="T4"/>
      <c r="U4"/>
    </row>
    <row r="5" spans="1:22" x14ac:dyDescent="0.25">
      <c r="M5" s="3"/>
      <c r="P5" s="29"/>
      <c r="Q5" s="29"/>
      <c r="R5" s="29"/>
      <c r="S5" s="29"/>
      <c r="T5" s="3"/>
    </row>
    <row r="6" spans="1:22" s="3" customFormat="1" x14ac:dyDescent="0.25">
      <c r="A6" s="3" t="s">
        <v>28</v>
      </c>
      <c r="D6" s="29"/>
      <c r="E6" s="29"/>
      <c r="F6" s="25"/>
      <c r="G6" s="29"/>
      <c r="H6" s="25"/>
      <c r="J6" t="s">
        <v>43</v>
      </c>
      <c r="L6" s="3" t="s">
        <v>29</v>
      </c>
      <c r="O6" s="29"/>
      <c r="P6" s="25"/>
      <c r="Q6" s="29"/>
      <c r="R6" s="25"/>
      <c r="S6" s="29"/>
      <c r="T6"/>
      <c r="U6" t="s">
        <v>43</v>
      </c>
    </row>
    <row r="7" spans="1:22" s="3" customFormat="1" x14ac:dyDescent="0.25">
      <c r="A7" t="s">
        <v>41</v>
      </c>
      <c r="D7" s="25">
        <f>'ontmoeting-empowerment-welzijn'!BX9</f>
        <v>73965</v>
      </c>
      <c r="E7" s="29"/>
      <c r="F7" s="25">
        <f>'ontmoeting-empowerment-welzijn'!BX10</f>
        <v>65424</v>
      </c>
      <c r="G7" s="29"/>
      <c r="H7" s="25">
        <f>'ontmoeting-empowerment-welzijn'!BX11</f>
        <v>54235.666666666672</v>
      </c>
      <c r="J7"/>
      <c r="L7" t="s">
        <v>41</v>
      </c>
      <c r="N7"/>
      <c r="O7" s="25">
        <f>'ontmoeting-empowerment-welzijn'!BX16</f>
        <v>25050</v>
      </c>
      <c r="P7" s="29"/>
      <c r="Q7" s="25">
        <f>'ontmoeting-empowerment-welzijn'!BX17</f>
        <v>40343</v>
      </c>
      <c r="R7" s="25"/>
      <c r="S7" s="25">
        <f>'ontmoeting-empowerment-welzijn'!BX18</f>
        <v>13550</v>
      </c>
      <c r="U7"/>
    </row>
    <row r="8" spans="1:22" s="3" customFormat="1" x14ac:dyDescent="0.25">
      <c r="A8" t="s">
        <v>63</v>
      </c>
      <c r="D8" s="25">
        <f>'veiligheid-belangenbehartiging'!D30</f>
        <v>5975</v>
      </c>
      <c r="E8" s="29"/>
      <c r="F8" s="25">
        <f>'veiligheid-belangenbehartiging'!F30</f>
        <v>6250</v>
      </c>
      <c r="G8" s="29"/>
      <c r="H8" s="25">
        <f>'veiligheid-belangenbehartiging'!H30</f>
        <v>2011.5</v>
      </c>
      <c r="J8"/>
      <c r="L8" t="s">
        <v>63</v>
      </c>
      <c r="N8"/>
      <c r="O8" s="25">
        <f>'veiligheid-belangenbehartiging'!D31</f>
        <v>2400</v>
      </c>
      <c r="P8" s="29"/>
      <c r="Q8" s="25">
        <f>'veiligheid-belangenbehartiging'!F31</f>
        <v>0</v>
      </c>
      <c r="R8" s="25"/>
      <c r="S8" s="25">
        <f>'veiligheid-belangenbehartiging'!H31</f>
        <v>0</v>
      </c>
      <c r="U8"/>
    </row>
    <row r="9" spans="1:22" s="3" customFormat="1" x14ac:dyDescent="0.25">
      <c r="A9" t="s">
        <v>8</v>
      </c>
      <c r="D9" s="25">
        <f>voorlichting!D7</f>
        <v>9100</v>
      </c>
      <c r="E9" s="29"/>
      <c r="F9" s="25">
        <f>voorlichting!F7</f>
        <v>9100</v>
      </c>
      <c r="G9" s="29"/>
      <c r="H9" s="25">
        <f>voorlichting!H7</f>
        <v>6749.166666666667</v>
      </c>
      <c r="J9"/>
      <c r="L9" t="s">
        <v>8</v>
      </c>
      <c r="N9"/>
      <c r="O9" s="25">
        <f>voorlichting!D11</f>
        <v>10000</v>
      </c>
      <c r="P9" s="29"/>
      <c r="Q9" s="25">
        <f>voorlichting!F11</f>
        <v>10000</v>
      </c>
      <c r="R9" s="25"/>
      <c r="S9" s="25">
        <f>voorlichting!H11</f>
        <v>7863.3333333333339</v>
      </c>
      <c r="U9"/>
    </row>
    <row r="10" spans="1:22" s="3" customFormat="1" x14ac:dyDescent="0.25">
      <c r="A10"/>
      <c r="D10" s="30">
        <f>SUM(D7:D9)</f>
        <v>89040</v>
      </c>
      <c r="E10" s="29"/>
      <c r="F10" s="30">
        <f>SUM(F7:F9)</f>
        <v>80774</v>
      </c>
      <c r="G10" s="29"/>
      <c r="H10" s="30">
        <f>SUM(H7:H9)</f>
        <v>62996.333333333336</v>
      </c>
      <c r="J10"/>
      <c r="L10"/>
      <c r="N10"/>
      <c r="O10" s="30">
        <f>SUM(O7:O9)</f>
        <v>37450</v>
      </c>
      <c r="P10" s="29"/>
      <c r="Q10" s="30">
        <f>SUM(Q7:Q9)</f>
        <v>50343</v>
      </c>
      <c r="R10" s="25"/>
      <c r="S10" s="30">
        <f>SUM(S7:S9)</f>
        <v>21413.333333333336</v>
      </c>
      <c r="U10"/>
    </row>
    <row r="11" spans="1:22" s="3" customFormat="1" x14ac:dyDescent="0.25">
      <c r="D11" s="29"/>
      <c r="E11" s="29"/>
      <c r="F11" s="25"/>
      <c r="G11" s="29"/>
      <c r="H11" s="25"/>
      <c r="J11"/>
      <c r="L11"/>
      <c r="N11"/>
      <c r="O11" s="25"/>
      <c r="P11" s="29"/>
      <c r="Q11" s="25"/>
      <c r="R11" s="25"/>
      <c r="S11" s="25"/>
      <c r="U11"/>
    </row>
    <row r="12" spans="1:22" s="3" customFormat="1" x14ac:dyDescent="0.25">
      <c r="A12" s="3" t="s">
        <v>14</v>
      </c>
      <c r="D12" s="29"/>
      <c r="E12" s="29"/>
      <c r="F12" s="25"/>
      <c r="G12" s="29"/>
      <c r="H12" s="25"/>
      <c r="J12"/>
      <c r="O12" s="29"/>
      <c r="P12" s="29"/>
      <c r="Q12" s="25"/>
      <c r="R12" s="25"/>
      <c r="S12" s="25"/>
      <c r="T12"/>
      <c r="U12"/>
    </row>
    <row r="13" spans="1:22" x14ac:dyDescent="0.25">
      <c r="A13" t="s">
        <v>99</v>
      </c>
      <c r="B13" s="3">
        <v>5340</v>
      </c>
      <c r="D13" s="25">
        <v>15000</v>
      </c>
      <c r="F13" s="25">
        <v>15000</v>
      </c>
      <c r="H13" s="25">
        <f>7364*uitgangspunten!D8</f>
        <v>8591.3333333333339</v>
      </c>
      <c r="O13"/>
      <c r="P13" s="29"/>
      <c r="Q13" s="29"/>
      <c r="R13" s="29"/>
      <c r="S13" s="29"/>
      <c r="T13" s="3"/>
      <c r="U13" s="3"/>
    </row>
    <row r="14" spans="1:22" x14ac:dyDescent="0.25">
      <c r="A14" t="s">
        <v>98</v>
      </c>
      <c r="B14" s="3" t="s">
        <v>81</v>
      </c>
      <c r="D14" s="25">
        <v>3000</v>
      </c>
      <c r="F14" s="25">
        <v>7177</v>
      </c>
      <c r="H14" s="25">
        <f>2522*uitgangspunten!D8</f>
        <v>2942.3333333333335</v>
      </c>
      <c r="L14" s="3"/>
      <c r="M14" s="3"/>
      <c r="N14" s="3"/>
      <c r="O14" s="3"/>
      <c r="T14" s="3"/>
      <c r="U14" s="3"/>
    </row>
    <row r="15" spans="1:22" x14ac:dyDescent="0.25">
      <c r="A15" t="s">
        <v>109</v>
      </c>
      <c r="F15" s="25">
        <v>10000</v>
      </c>
      <c r="H15" s="25">
        <v>0</v>
      </c>
      <c r="O15"/>
      <c r="P15"/>
      <c r="Q15"/>
      <c r="R15"/>
      <c r="S15"/>
      <c r="V15" s="3"/>
    </row>
    <row r="16" spans="1:22" x14ac:dyDescent="0.25">
      <c r="A16" t="s">
        <v>100</v>
      </c>
      <c r="B16" s="3">
        <v>5320</v>
      </c>
      <c r="D16" s="25">
        <v>9000</v>
      </c>
      <c r="F16" s="25">
        <v>2700</v>
      </c>
      <c r="H16" s="25">
        <f>7364*uitgangspunten!D8</f>
        <v>8591.3333333333339</v>
      </c>
      <c r="L16" s="3" t="s">
        <v>15</v>
      </c>
      <c r="M16" s="3">
        <v>8320</v>
      </c>
      <c r="N16" s="3"/>
      <c r="O16" s="30">
        <v>43000</v>
      </c>
      <c r="P16"/>
      <c r="Q16" s="30">
        <v>50000</v>
      </c>
      <c r="R16"/>
      <c r="S16" s="30">
        <v>42927</v>
      </c>
      <c r="V16" s="3"/>
    </row>
    <row r="17" spans="1:23" x14ac:dyDescent="0.25">
      <c r="D17" s="30">
        <f>SUM(D13:D16)</f>
        <v>27000</v>
      </c>
      <c r="E17" s="29"/>
      <c r="F17" s="30">
        <f>SUM(F13:F16)</f>
        <v>34877</v>
      </c>
      <c r="G17" s="29"/>
      <c r="H17" s="30">
        <f>SUM(H13:H16)</f>
        <v>20125</v>
      </c>
      <c r="O17"/>
      <c r="P17"/>
      <c r="Q17"/>
      <c r="R17"/>
      <c r="S17"/>
      <c r="V17" s="3"/>
    </row>
    <row r="18" spans="1:23" s="3" customFormat="1" x14ac:dyDescent="0.25">
      <c r="A18" s="3" t="s">
        <v>56</v>
      </c>
      <c r="D18" s="25"/>
      <c r="E18" s="29"/>
      <c r="F18" s="25"/>
      <c r="G18" s="29"/>
      <c r="H18" s="25"/>
      <c r="J18"/>
      <c r="L18" s="3" t="s">
        <v>3</v>
      </c>
      <c r="N18"/>
      <c r="O18" s="25"/>
      <c r="P18" s="29"/>
      <c r="Q18" s="25"/>
      <c r="R18" s="25"/>
      <c r="S18" s="25"/>
      <c r="U18"/>
    </row>
    <row r="19" spans="1:23" s="3" customFormat="1" x14ac:dyDescent="0.25">
      <c r="A19" t="s">
        <v>101</v>
      </c>
      <c r="B19" s="15" t="s">
        <v>59</v>
      </c>
      <c r="C19"/>
      <c r="D19" s="25">
        <v>3000</v>
      </c>
      <c r="E19" s="25"/>
      <c r="F19" s="25">
        <v>2000</v>
      </c>
      <c r="G19" s="25"/>
      <c r="H19" s="43">
        <f>(1667+214+860)*uitgangspunten!D8</f>
        <v>3197.8333333333335</v>
      </c>
      <c r="I19"/>
      <c r="J19"/>
      <c r="L19" t="s">
        <v>108</v>
      </c>
      <c r="M19"/>
      <c r="N19"/>
      <c r="O19" s="25"/>
      <c r="P19" s="29"/>
      <c r="Q19" s="25">
        <v>8000</v>
      </c>
      <c r="R19" s="25"/>
      <c r="S19" s="25"/>
      <c r="U19" t="s">
        <v>72</v>
      </c>
    </row>
    <row r="20" spans="1:23" s="3" customFormat="1" x14ac:dyDescent="0.25">
      <c r="A20" t="s">
        <v>102</v>
      </c>
      <c r="B20" s="15" t="s">
        <v>60</v>
      </c>
      <c r="C20"/>
      <c r="D20" s="25">
        <v>2200</v>
      </c>
      <c r="E20" s="25"/>
      <c r="F20" s="25">
        <v>4600</v>
      </c>
      <c r="G20" s="25"/>
      <c r="H20" s="43">
        <f>(1831)*uitgangspunten!D8</f>
        <v>2136.166666666667</v>
      </c>
      <c r="I20"/>
      <c r="J20"/>
      <c r="L20" t="s">
        <v>62</v>
      </c>
      <c r="O20" s="25"/>
      <c r="Q20" s="25">
        <v>5000</v>
      </c>
      <c r="R20"/>
      <c r="S20" s="25">
        <v>3000</v>
      </c>
      <c r="U20"/>
    </row>
    <row r="21" spans="1:23" s="3" customFormat="1" x14ac:dyDescent="0.25">
      <c r="A21" t="s">
        <v>103</v>
      </c>
      <c r="B21" s="15" t="s">
        <v>94</v>
      </c>
      <c r="C21"/>
      <c r="D21" s="25">
        <v>8000</v>
      </c>
      <c r="E21" s="25"/>
      <c r="F21" s="25"/>
      <c r="G21" s="25"/>
      <c r="H21" s="43">
        <f>(6899)*uitgangspunten!D8</f>
        <v>8048.8333333333339</v>
      </c>
      <c r="I21"/>
      <c r="J21"/>
      <c r="K21"/>
      <c r="L21" t="s">
        <v>52</v>
      </c>
      <c r="M21"/>
      <c r="N21"/>
      <c r="O21" s="25"/>
      <c r="P21" s="25"/>
      <c r="Q21" s="25"/>
      <c r="R21" s="25"/>
      <c r="S21" s="25"/>
      <c r="U21"/>
    </row>
    <row r="22" spans="1:23" s="3" customFormat="1" x14ac:dyDescent="0.25">
      <c r="A22" t="s">
        <v>104</v>
      </c>
      <c r="B22" s="15" t="s">
        <v>93</v>
      </c>
      <c r="C22"/>
      <c r="D22" s="25">
        <v>4000</v>
      </c>
      <c r="E22" s="25"/>
      <c r="F22" s="25">
        <v>3500</v>
      </c>
      <c r="G22" s="25"/>
      <c r="H22" s="43">
        <f>(419+2882-138+180+75)*uitgangspunten!D8</f>
        <v>3987.666666666667</v>
      </c>
      <c r="I22"/>
      <c r="J22"/>
      <c r="K22"/>
      <c r="L22" t="s">
        <v>27</v>
      </c>
      <c r="O22" s="25">
        <v>5000</v>
      </c>
      <c r="P22" s="25"/>
      <c r="Q22" s="25">
        <v>5000</v>
      </c>
      <c r="R22" s="25"/>
      <c r="S22" s="25">
        <v>3000</v>
      </c>
      <c r="T22"/>
      <c r="U22"/>
    </row>
    <row r="23" spans="1:23" x14ac:dyDescent="0.25">
      <c r="A23" t="s">
        <v>105</v>
      </c>
      <c r="B23" s="15" t="s">
        <v>92</v>
      </c>
      <c r="D23" s="25">
        <v>8000</v>
      </c>
      <c r="F23" s="25">
        <v>11000</v>
      </c>
      <c r="H23" s="43">
        <f>(1988+584+1092+3093)*uitgangspunten!D8</f>
        <v>7883.166666666667</v>
      </c>
      <c r="L23" t="s">
        <v>82</v>
      </c>
      <c r="M23" s="3"/>
      <c r="N23" s="3"/>
      <c r="O23" s="25">
        <v>13000</v>
      </c>
      <c r="Q23" s="25">
        <v>17000</v>
      </c>
      <c r="S23" s="25">
        <v>18000</v>
      </c>
    </row>
    <row r="24" spans="1:23" x14ac:dyDescent="0.25">
      <c r="A24" s="3"/>
      <c r="C24" s="3"/>
      <c r="D24" s="30">
        <f>SUM(D19:D23)</f>
        <v>25200</v>
      </c>
      <c r="F24" s="30">
        <f>SUM(F19:F23)</f>
        <v>21100</v>
      </c>
      <c r="G24" s="29"/>
      <c r="H24" s="30">
        <f>SUM(H20:H23)</f>
        <v>22055.833333333336</v>
      </c>
      <c r="L24" t="s">
        <v>84</v>
      </c>
      <c r="P24" s="3"/>
      <c r="Q24" s="25">
        <f>F27</f>
        <v>0</v>
      </c>
      <c r="R24"/>
      <c r="T24" s="3"/>
    </row>
    <row r="25" spans="1:23" x14ac:dyDescent="0.25">
      <c r="E25" s="29"/>
      <c r="I25" s="3"/>
      <c r="O25" s="30">
        <f>SUM(O19:O24)</f>
        <v>18000</v>
      </c>
      <c r="P25" s="29"/>
      <c r="Q25" s="30">
        <f>SUM(Q19:Q24)</f>
        <v>35000</v>
      </c>
      <c r="R25" s="29"/>
      <c r="S25" s="30">
        <f>SUM(S19:S24)</f>
        <v>24000</v>
      </c>
    </row>
    <row r="26" spans="1:23" x14ac:dyDescent="0.25">
      <c r="A26" s="3" t="s">
        <v>106</v>
      </c>
      <c r="B26" s="3">
        <v>5335</v>
      </c>
      <c r="C26" s="3"/>
      <c r="D26" s="30">
        <v>5000</v>
      </c>
      <c r="F26" s="27">
        <v>5000</v>
      </c>
      <c r="H26" s="27">
        <v>2962</v>
      </c>
      <c r="K26" s="3"/>
      <c r="M26" s="3"/>
      <c r="N26" s="3"/>
      <c r="O26" s="29"/>
      <c r="P26" s="29"/>
      <c r="Q26" s="29"/>
      <c r="R26" s="29"/>
      <c r="S26" s="29"/>
    </row>
    <row r="27" spans="1:23" x14ac:dyDescent="0.25">
      <c r="A27" s="3"/>
      <c r="C27" s="3"/>
      <c r="D27" s="29"/>
      <c r="E27" s="29"/>
      <c r="F27" s="29"/>
      <c r="G27" s="29"/>
      <c r="H27" s="29"/>
      <c r="I27" s="3"/>
      <c r="O27"/>
      <c r="P27"/>
      <c r="Q27"/>
      <c r="R27"/>
      <c r="S27"/>
      <c r="V27" s="3"/>
      <c r="W27" s="3"/>
    </row>
    <row r="28" spans="1:23" s="3" customFormat="1" x14ac:dyDescent="0.25">
      <c r="A28" s="3" t="s">
        <v>107</v>
      </c>
      <c r="B28" s="3">
        <v>5345</v>
      </c>
      <c r="D28" s="30">
        <v>25000</v>
      </c>
      <c r="E28" s="29"/>
      <c r="F28" s="27">
        <v>30000</v>
      </c>
      <c r="G28" s="29"/>
      <c r="H28" s="27">
        <v>19059</v>
      </c>
      <c r="J28"/>
      <c r="L28" s="3" t="s">
        <v>61</v>
      </c>
      <c r="O28" s="30">
        <v>15000</v>
      </c>
      <c r="P28" s="29"/>
      <c r="Q28" s="30">
        <v>30000</v>
      </c>
      <c r="R28" s="25"/>
      <c r="S28" s="30">
        <v>1000</v>
      </c>
      <c r="U28"/>
    </row>
    <row r="29" spans="1:23" s="3" customFormat="1" x14ac:dyDescent="0.25">
      <c r="E29" s="29"/>
      <c r="F29" s="25"/>
      <c r="G29" s="29"/>
      <c r="H29" s="25"/>
      <c r="J29"/>
    </row>
    <row r="30" spans="1:23" s="3" customFormat="1" x14ac:dyDescent="0.25">
      <c r="A30" s="3" t="s">
        <v>42</v>
      </c>
      <c r="D30" s="30">
        <f>(D10+D26+D17+D24+D28)*2%</f>
        <v>3424.8</v>
      </c>
      <c r="E30" s="29"/>
      <c r="F30" s="30">
        <v>3435</v>
      </c>
      <c r="G30" s="29"/>
      <c r="H30" s="30"/>
      <c r="J30"/>
      <c r="L30" s="3" t="s">
        <v>7</v>
      </c>
      <c r="M30" s="15" t="s">
        <v>30</v>
      </c>
      <c r="O30" s="30">
        <f>10000+ 25000</f>
        <v>35000</v>
      </c>
      <c r="P30" s="29"/>
      <c r="Q30" s="30">
        <v>10000</v>
      </c>
      <c r="R30" s="25"/>
      <c r="S30" s="30">
        <f>5140+32000+325</f>
        <v>37465</v>
      </c>
      <c r="U30"/>
    </row>
    <row r="31" spans="1:23" s="3" customFormat="1" x14ac:dyDescent="0.25">
      <c r="E31" s="25"/>
      <c r="F31" s="25"/>
      <c r="G31" s="25"/>
      <c r="H31" s="25"/>
      <c r="I31"/>
      <c r="J31"/>
      <c r="L31"/>
      <c r="M31"/>
      <c r="N31"/>
      <c r="O31" s="25"/>
      <c r="P31" s="25"/>
      <c r="Q31" s="25"/>
      <c r="R31" s="25"/>
      <c r="S31" s="25"/>
      <c r="T31"/>
      <c r="U31"/>
    </row>
    <row r="32" spans="1:23" ht="16.5" thickBot="1" x14ac:dyDescent="0.3">
      <c r="A32" s="1" t="s">
        <v>1</v>
      </c>
      <c r="B32" s="4"/>
      <c r="C32" s="1"/>
      <c r="D32" s="37">
        <f>D10+D26+D17+D24+D30+D28</f>
        <v>174664.8</v>
      </c>
      <c r="F32" s="37">
        <f>F10+F26+F17+F24+F30+F28</f>
        <v>175186</v>
      </c>
      <c r="G32" s="22"/>
      <c r="H32" s="37">
        <f>H10+H26+H17+H24+H30+H28</f>
        <v>127198.16666666669</v>
      </c>
      <c r="I32" s="1"/>
      <c r="J32" s="1"/>
      <c r="L32" s="1" t="s">
        <v>4</v>
      </c>
      <c r="M32" s="4"/>
      <c r="N32" s="1"/>
      <c r="O32" s="37">
        <f>O10+O28+O12+O25+O16+O30</f>
        <v>148450</v>
      </c>
      <c r="P32" s="22"/>
      <c r="Q32" s="37">
        <f>Q10+Q28+Q12+Q25+Q16+Q30</f>
        <v>175343</v>
      </c>
      <c r="R32" s="22"/>
      <c r="S32" s="37">
        <f>S10+S28+S12+S25+S16+S30</f>
        <v>126805.33333333334</v>
      </c>
      <c r="T32" s="1"/>
      <c r="U32" s="1"/>
      <c r="W32" s="3"/>
    </row>
    <row r="33" spans="1:23" s="3" customFormat="1" ht="16.5" thickTop="1" x14ac:dyDescent="0.25">
      <c r="A33"/>
      <c r="C33"/>
      <c r="D33" s="25"/>
      <c r="E33" s="25"/>
      <c r="F33" s="25"/>
      <c r="G33" s="25"/>
      <c r="H33" s="25"/>
      <c r="I33"/>
      <c r="J33"/>
      <c r="K33" s="1"/>
      <c r="L33"/>
      <c r="N33"/>
      <c r="O33" s="25"/>
      <c r="P33" s="25"/>
      <c r="Q33" s="25"/>
      <c r="R33" s="25"/>
      <c r="S33" s="25"/>
      <c r="T33"/>
      <c r="U33"/>
      <c r="V33"/>
      <c r="W33"/>
    </row>
    <row r="34" spans="1:23" x14ac:dyDescent="0.25">
      <c r="L34" s="4" t="s">
        <v>83</v>
      </c>
      <c r="M34" s="4"/>
      <c r="N34" s="4"/>
      <c r="O34" s="28">
        <f>O32-D32</f>
        <v>-26214.799999999988</v>
      </c>
      <c r="Q34" s="28">
        <f>Q32-F32</f>
        <v>157</v>
      </c>
      <c r="S34" s="28">
        <f>S32-H32</f>
        <v>-392.83333333334303</v>
      </c>
      <c r="V34" s="1"/>
      <c r="W34" s="1"/>
    </row>
    <row r="35" spans="1:23" x14ac:dyDescent="0.25">
      <c r="L35" s="4"/>
      <c r="M35" s="4"/>
      <c r="N35" s="4"/>
      <c r="O35" s="28"/>
      <c r="Q35" s="28"/>
      <c r="S35" s="28"/>
      <c r="V35" s="1"/>
      <c r="W35" s="1"/>
    </row>
    <row r="36" spans="1:23" s="1" customFormat="1" x14ac:dyDescent="0.25">
      <c r="A36"/>
      <c r="B36" s="3"/>
      <c r="C36"/>
      <c r="D36" s="25"/>
      <c r="E36" s="25"/>
      <c r="F36" s="25"/>
      <c r="G36" s="25"/>
      <c r="H36" s="25"/>
      <c r="I36"/>
      <c r="J36"/>
      <c r="K36"/>
      <c r="P36" s="25"/>
      <c r="Q36" s="25"/>
      <c r="R36" s="25"/>
      <c r="S36" s="25"/>
      <c r="T36"/>
      <c r="U36"/>
      <c r="V36"/>
      <c r="W36"/>
    </row>
    <row r="37" spans="1:23" x14ac:dyDescent="0.25">
      <c r="C37" s="3"/>
      <c r="D37" s="29"/>
      <c r="L37" s="4" t="s">
        <v>110</v>
      </c>
    </row>
    <row r="38" spans="1:23" x14ac:dyDescent="0.25">
      <c r="C38" s="3"/>
      <c r="D38" s="29"/>
      <c r="E38" s="29"/>
      <c r="G38" s="29"/>
      <c r="I38" s="3"/>
      <c r="J38" s="3"/>
      <c r="K38" s="3"/>
      <c r="L38" s="47" t="s">
        <v>119</v>
      </c>
      <c r="O38" s="25">
        <v>205057</v>
      </c>
    </row>
    <row r="39" spans="1:23" x14ac:dyDescent="0.25">
      <c r="A39" s="3"/>
      <c r="C39" s="3"/>
      <c r="D39" s="29"/>
      <c r="E39" s="29"/>
      <c r="G39" s="29"/>
      <c r="I39" s="3"/>
      <c r="J39" s="3"/>
      <c r="L39" s="47" t="s">
        <v>111</v>
      </c>
      <c r="O39" s="25">
        <f>O38+S34</f>
        <v>204664.16666666666</v>
      </c>
      <c r="P39" s="29"/>
      <c r="Q39" s="29"/>
      <c r="R39" s="29"/>
      <c r="S39" s="29"/>
      <c r="T39" s="3"/>
      <c r="U39" s="3"/>
    </row>
    <row r="40" spans="1:23" s="3" customFormat="1" x14ac:dyDescent="0.25">
      <c r="A40"/>
      <c r="C40"/>
      <c r="D40" s="25"/>
      <c r="E40" s="29"/>
      <c r="F40" s="25"/>
      <c r="G40" s="29"/>
      <c r="H40" s="25"/>
      <c r="L40" s="47" t="s">
        <v>120</v>
      </c>
      <c r="M40"/>
      <c r="N40"/>
      <c r="O40" s="25">
        <f>O39+O34</f>
        <v>178449.36666666667</v>
      </c>
      <c r="P40" s="29"/>
      <c r="Q40" s="29"/>
      <c r="R40" s="29"/>
      <c r="S40" s="29"/>
      <c r="V40"/>
      <c r="W40"/>
    </row>
    <row r="41" spans="1:23" x14ac:dyDescent="0.25">
      <c r="A41" s="3"/>
      <c r="C41" s="3"/>
      <c r="D41" s="29"/>
      <c r="K41" s="3"/>
      <c r="V41" s="3"/>
      <c r="W41" s="3"/>
    </row>
    <row r="42" spans="1:23" s="3" customFormat="1" x14ac:dyDescent="0.25">
      <c r="D42" s="29"/>
      <c r="E42" s="29"/>
      <c r="F42" s="25"/>
      <c r="G42" s="29"/>
      <c r="H42" s="25"/>
      <c r="K42"/>
      <c r="O42" s="29"/>
      <c r="P42" s="29"/>
      <c r="Q42" s="29"/>
      <c r="R42" s="29"/>
      <c r="S42" s="29"/>
    </row>
    <row r="43" spans="1:23" s="3" customFormat="1" x14ac:dyDescent="0.25">
      <c r="A43"/>
      <c r="C43"/>
      <c r="D43" s="25"/>
      <c r="E43" s="29"/>
      <c r="F43" s="25"/>
      <c r="G43" s="29"/>
      <c r="H43" s="25"/>
      <c r="O43" s="29"/>
      <c r="P43" s="29"/>
      <c r="Q43" s="29"/>
      <c r="R43" s="29"/>
      <c r="S43" s="29"/>
      <c r="V43"/>
      <c r="W43"/>
    </row>
    <row r="44" spans="1:23" x14ac:dyDescent="0.25">
      <c r="K44" s="3"/>
      <c r="V44" s="3"/>
      <c r="W44" s="3"/>
    </row>
    <row r="45" spans="1:23" s="3" customFormat="1" x14ac:dyDescent="0.25">
      <c r="A45"/>
      <c r="B45"/>
      <c r="C45"/>
      <c r="D45" s="25"/>
      <c r="E45" s="25"/>
      <c r="F45" s="25"/>
      <c r="G45" s="25"/>
      <c r="H45" s="25"/>
      <c r="I45"/>
      <c r="J45"/>
      <c r="K45"/>
      <c r="L45"/>
      <c r="M45"/>
      <c r="N45"/>
      <c r="O45" s="25"/>
      <c r="P45" s="25"/>
      <c r="Q45" s="25"/>
      <c r="R45" s="25"/>
      <c r="S45" s="25"/>
      <c r="T45"/>
      <c r="U45"/>
    </row>
    <row r="46" spans="1:23" s="3" customFormat="1" x14ac:dyDescent="0.25">
      <c r="D46" s="29"/>
      <c r="E46" s="25"/>
      <c r="F46" s="25"/>
      <c r="G46" s="25"/>
      <c r="H46" s="25"/>
      <c r="I46"/>
      <c r="J46"/>
      <c r="K46"/>
      <c r="L46"/>
      <c r="M46"/>
      <c r="N46"/>
      <c r="O46" s="25"/>
      <c r="P46" s="25"/>
      <c r="Q46" s="25"/>
      <c r="R46" s="25"/>
      <c r="S46" s="25"/>
      <c r="T46"/>
      <c r="U46"/>
      <c r="V46"/>
      <c r="W46"/>
    </row>
    <row r="47" spans="1:23" x14ac:dyDescent="0.25">
      <c r="E47" s="29"/>
      <c r="G47" s="29"/>
      <c r="I47" s="3"/>
      <c r="J47" s="3"/>
      <c r="L47" s="3"/>
      <c r="M47" s="3"/>
      <c r="N47" s="3"/>
      <c r="O47" s="29"/>
      <c r="P47" s="29"/>
      <c r="Q47" s="29"/>
      <c r="R47" s="29"/>
      <c r="S47" s="29"/>
      <c r="T47" s="3"/>
      <c r="U47" s="3"/>
    </row>
    <row r="48" spans="1:23" x14ac:dyDescent="0.25">
      <c r="A48" s="1"/>
      <c r="B48" s="1"/>
      <c r="C48" s="1"/>
      <c r="D48" s="22"/>
      <c r="K48" s="3"/>
    </row>
    <row r="49" spans="1:23" x14ac:dyDescent="0.25">
      <c r="E49" s="22"/>
      <c r="F49" s="22"/>
      <c r="G49" s="22"/>
      <c r="H49" s="22"/>
      <c r="I49" s="1"/>
      <c r="J49" s="1"/>
      <c r="L49" s="1"/>
      <c r="M49" s="1"/>
      <c r="N49" s="1"/>
      <c r="O49" s="22"/>
      <c r="P49" s="22"/>
      <c r="Q49" s="22"/>
      <c r="R49" s="22"/>
      <c r="S49" s="22"/>
      <c r="T49" s="1"/>
      <c r="U49" s="1"/>
      <c r="V49" s="3"/>
      <c r="W49" s="3"/>
    </row>
    <row r="50" spans="1:23" s="3" customFormat="1" x14ac:dyDescent="0.25">
      <c r="A50"/>
      <c r="C50"/>
      <c r="D50" s="25"/>
      <c r="E50" s="25"/>
      <c r="F50" s="25"/>
      <c r="G50" s="25"/>
      <c r="H50" s="25"/>
      <c r="I50"/>
      <c r="J50"/>
      <c r="K50" s="1"/>
      <c r="L50"/>
      <c r="M50"/>
      <c r="N50"/>
      <c r="O50" s="25"/>
      <c r="P50" s="25"/>
      <c r="Q50" s="25"/>
      <c r="R50" s="25"/>
      <c r="S50" s="25"/>
      <c r="T50"/>
      <c r="U50"/>
      <c r="V50"/>
      <c r="W50"/>
    </row>
    <row r="51" spans="1:23" x14ac:dyDescent="0.25">
      <c r="V51" s="1"/>
      <c r="W51" s="1"/>
    </row>
    <row r="52" spans="1:23" s="1" customFormat="1" x14ac:dyDescent="0.25">
      <c r="A52"/>
      <c r="B52" s="3"/>
      <c r="C52"/>
      <c r="D52" s="25"/>
      <c r="E52" s="25"/>
      <c r="F52" s="25"/>
      <c r="G52" s="25"/>
      <c r="H52" s="25"/>
      <c r="I52"/>
      <c r="J52"/>
      <c r="K52"/>
      <c r="L52"/>
      <c r="M52"/>
      <c r="N52"/>
      <c r="O52" s="25"/>
      <c r="P52" s="25"/>
      <c r="Q52" s="25"/>
      <c r="R52" s="25"/>
      <c r="S52" s="25"/>
      <c r="T52"/>
      <c r="U52"/>
      <c r="V52"/>
      <c r="W52"/>
    </row>
  </sheetData>
  <phoneticPr fontId="11" type="noConversion"/>
  <pageMargins left="0.75000000000000011" right="0.75000000000000011" top="1" bottom="1" header="0.5" footer="0.5"/>
  <pageSetup paperSize="9" scale="46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56"/>
  <sheetViews>
    <sheetView zoomScale="85" zoomScaleNormal="85" workbookViewId="0">
      <selection activeCell="BQ10" sqref="BQ10"/>
    </sheetView>
  </sheetViews>
  <sheetFormatPr defaultColWidth="10.875" defaultRowHeight="15.75" x14ac:dyDescent="0.25"/>
  <cols>
    <col min="1" max="1" width="25.625" customWidth="1"/>
    <col min="2" max="2" width="5.875" style="3" hidden="1" customWidth="1"/>
    <col min="3" max="3" width="1.75" customWidth="1"/>
    <col min="4" max="4" width="10.875" style="34"/>
    <col min="5" max="5" width="1.75" customWidth="1"/>
    <col min="6" max="6" width="7.375" customWidth="1"/>
    <col min="7" max="7" width="9.125" customWidth="1"/>
    <col min="8" max="8" width="10.875" customWidth="1"/>
    <col min="9" max="9" width="2.125" customWidth="1"/>
    <col min="10" max="10" width="26.125" customWidth="1"/>
    <col min="11" max="11" width="5.875" hidden="1" customWidth="1"/>
    <col min="12" max="12" width="1.375" customWidth="1"/>
    <col min="14" max="14" width="1.75" customWidth="1"/>
    <col min="15" max="15" width="7.375" customWidth="1"/>
    <col min="16" max="16" width="10" customWidth="1"/>
    <col min="17" max="17" width="10.875" customWidth="1"/>
    <col min="18" max="18" width="1.625" customWidth="1"/>
    <col min="19" max="19" width="28.375" customWidth="1"/>
    <col min="20" max="20" width="5.875" hidden="1" customWidth="1"/>
    <col min="21" max="21" width="1.75" customWidth="1"/>
    <col min="23" max="23" width="1.625" customWidth="1"/>
    <col min="24" max="24" width="7.375" customWidth="1"/>
    <col min="25" max="25" width="8.625" customWidth="1"/>
    <col min="26" max="26" width="18.5" customWidth="1"/>
    <col min="27" max="27" width="1.5" customWidth="1"/>
    <col min="28" max="28" width="26.375" customWidth="1"/>
    <col min="29" max="29" width="2.125" hidden="1" customWidth="1"/>
    <col min="30" max="30" width="2.125" customWidth="1"/>
    <col min="32" max="32" width="1.375" customWidth="1"/>
    <col min="33" max="33" width="7.375" customWidth="1"/>
    <col min="34" max="34" width="8.875" customWidth="1"/>
    <col min="35" max="35" width="10.875" customWidth="1"/>
    <col min="36" max="36" width="1.375" customWidth="1"/>
    <col min="37" max="37" width="26.75" customWidth="1"/>
    <col min="38" max="38" width="5.875" hidden="1" customWidth="1"/>
    <col min="39" max="39" width="1.375" customWidth="1"/>
    <col min="41" max="41" width="5.875" hidden="1" customWidth="1"/>
    <col min="42" max="42" width="0" hidden="1" customWidth="1"/>
    <col min="43" max="43" width="2.125" customWidth="1"/>
    <col min="44" max="44" width="7.375" customWidth="1"/>
    <col min="45" max="45" width="9.25" customWidth="1"/>
    <col min="46" max="46" width="10.875" customWidth="1"/>
    <col min="47" max="47" width="2.125" customWidth="1"/>
    <col min="48" max="48" width="26.75" customWidth="1"/>
    <col min="49" max="49" width="5.875" hidden="1" customWidth="1"/>
    <col min="50" max="50" width="1.25" customWidth="1"/>
    <col min="52" max="52" width="1.125" customWidth="1"/>
    <col min="53" max="53" width="9.25" customWidth="1"/>
    <col min="54" max="54" width="9.375" customWidth="1"/>
    <col min="55" max="55" width="17.625" customWidth="1"/>
    <col min="56" max="56" width="2" customWidth="1"/>
    <col min="57" max="57" width="27.375" customWidth="1"/>
    <col min="58" max="58" width="5.875" hidden="1" customWidth="1"/>
    <col min="59" max="59" width="1.625" customWidth="1"/>
    <col min="61" max="61" width="1.875" customWidth="1"/>
    <col min="62" max="62" width="7.375" customWidth="1"/>
    <col min="63" max="63" width="9" customWidth="1"/>
    <col min="64" max="64" width="10.875" customWidth="1"/>
    <col min="65" max="65" width="2.75" customWidth="1"/>
    <col min="66" max="66" width="27.375" customWidth="1"/>
    <col min="67" max="67" width="5.875" hidden="1" customWidth="1"/>
    <col min="68" max="68" width="1.625" customWidth="1"/>
    <col min="69" max="69" width="9.375" customWidth="1"/>
    <col min="70" max="70" width="1.875" customWidth="1"/>
    <col min="71" max="71" width="7.375" customWidth="1"/>
    <col min="72" max="72" width="9.375" customWidth="1"/>
    <col min="74" max="74" width="3.25" customWidth="1"/>
    <col min="75" max="75" width="27.875" customWidth="1"/>
  </cols>
  <sheetData>
    <row r="1" spans="1:77" x14ac:dyDescent="0.25">
      <c r="A1" s="2" t="s">
        <v>121</v>
      </c>
      <c r="B1" s="4"/>
      <c r="C1" s="1"/>
      <c r="D1" s="31"/>
    </row>
    <row r="2" spans="1:77" ht="31.5" x14ac:dyDescent="0.25">
      <c r="B2" s="3" t="s">
        <v>46</v>
      </c>
      <c r="D2" s="44" t="s">
        <v>118</v>
      </c>
      <c r="E2" s="45"/>
      <c r="F2" s="46" t="s">
        <v>78</v>
      </c>
      <c r="G2" s="46" t="s">
        <v>79</v>
      </c>
      <c r="H2" t="s">
        <v>12</v>
      </c>
      <c r="K2" s="3" t="s">
        <v>46</v>
      </c>
      <c r="M2" s="44" t="s">
        <v>118</v>
      </c>
      <c r="N2" s="45"/>
      <c r="O2" s="46" t="s">
        <v>78</v>
      </c>
      <c r="P2" s="46" t="s">
        <v>79</v>
      </c>
      <c r="Q2" t="s">
        <v>12</v>
      </c>
      <c r="T2" s="3" t="s">
        <v>46</v>
      </c>
      <c r="V2" s="44" t="s">
        <v>118</v>
      </c>
      <c r="X2" s="46" t="s">
        <v>78</v>
      </c>
      <c r="Y2" s="46" t="s">
        <v>79</v>
      </c>
      <c r="Z2" t="s">
        <v>12</v>
      </c>
      <c r="AC2" s="3" t="s">
        <v>46</v>
      </c>
      <c r="AE2" s="44" t="s">
        <v>118</v>
      </c>
      <c r="AG2" s="46" t="s">
        <v>78</v>
      </c>
      <c r="AH2" s="46" t="s">
        <v>79</v>
      </c>
      <c r="AI2" t="s">
        <v>12</v>
      </c>
      <c r="AL2" s="3" t="s">
        <v>46</v>
      </c>
      <c r="AN2" s="44" t="s">
        <v>118</v>
      </c>
      <c r="AP2" s="5" t="s">
        <v>12</v>
      </c>
      <c r="AR2" s="46" t="s">
        <v>78</v>
      </c>
      <c r="AS2" s="46" t="s">
        <v>79</v>
      </c>
      <c r="AT2" t="s">
        <v>12</v>
      </c>
      <c r="AW2" s="3" t="s">
        <v>46</v>
      </c>
      <c r="AY2" s="44" t="s">
        <v>118</v>
      </c>
      <c r="BA2" s="46" t="s">
        <v>78</v>
      </c>
      <c r="BB2" s="46" t="s">
        <v>79</v>
      </c>
      <c r="BC2" t="s">
        <v>12</v>
      </c>
      <c r="BD2" s="5"/>
      <c r="BF2" s="3" t="s">
        <v>46</v>
      </c>
      <c r="BH2" s="44" t="s">
        <v>118</v>
      </c>
      <c r="BJ2" s="46" t="s">
        <v>78</v>
      </c>
      <c r="BK2" s="46" t="s">
        <v>79</v>
      </c>
      <c r="BL2" t="s">
        <v>12</v>
      </c>
      <c r="BO2" s="3" t="s">
        <v>46</v>
      </c>
      <c r="BQ2" s="44" t="s">
        <v>118</v>
      </c>
      <c r="BS2" s="46" t="s">
        <v>78</v>
      </c>
      <c r="BT2" s="46" t="s">
        <v>79</v>
      </c>
      <c r="BU2" t="s">
        <v>12</v>
      </c>
      <c r="BX2" s="35"/>
    </row>
    <row r="3" spans="1:77" x14ac:dyDescent="0.25">
      <c r="D3" s="32"/>
    </row>
    <row r="4" spans="1:77" x14ac:dyDescent="0.25">
      <c r="A4" s="1" t="s">
        <v>124</v>
      </c>
      <c r="J4" s="1" t="s">
        <v>123</v>
      </c>
      <c r="K4" s="3"/>
      <c r="M4" s="34"/>
      <c r="S4" s="1" t="s">
        <v>122</v>
      </c>
      <c r="T4" s="3"/>
      <c r="V4" s="34"/>
      <c r="AB4" s="1" t="s">
        <v>125</v>
      </c>
      <c r="AC4" s="3"/>
      <c r="AE4" s="34"/>
      <c r="AK4" s="1" t="s">
        <v>126</v>
      </c>
      <c r="AL4" s="3"/>
      <c r="AN4" s="34"/>
      <c r="AV4" s="1" t="s">
        <v>127</v>
      </c>
      <c r="AW4" s="3"/>
      <c r="AY4" s="34"/>
      <c r="BE4" s="52" t="s">
        <v>133</v>
      </c>
      <c r="BF4" s="3"/>
      <c r="BH4" s="34"/>
      <c r="BN4" s="1" t="s">
        <v>128</v>
      </c>
      <c r="BO4" s="3"/>
      <c r="BQ4" s="34"/>
      <c r="BW4" s="1" t="s">
        <v>139</v>
      </c>
    </row>
    <row r="5" spans="1:77" x14ac:dyDescent="0.25">
      <c r="A5" s="1"/>
      <c r="J5" s="1"/>
      <c r="K5" s="3"/>
      <c r="M5" s="34"/>
      <c r="S5" s="1"/>
      <c r="T5" s="3"/>
      <c r="V5" s="34"/>
      <c r="AB5" s="1"/>
      <c r="AC5" s="3"/>
      <c r="AE5" s="34"/>
      <c r="AK5" s="1"/>
      <c r="AL5" s="3"/>
      <c r="AN5" s="34"/>
      <c r="AV5" s="1"/>
      <c r="AW5" s="3"/>
      <c r="AY5" s="34"/>
      <c r="BE5" s="1"/>
      <c r="BF5" s="3"/>
      <c r="BH5" s="34"/>
      <c r="BN5" s="1"/>
      <c r="BO5" s="3"/>
      <c r="BQ5" s="34"/>
      <c r="BW5" t="s">
        <v>140</v>
      </c>
      <c r="BX5">
        <f>BS6+BJ6+BA6+AR6+AG6+X6+O6+F6</f>
        <v>73</v>
      </c>
    </row>
    <row r="6" spans="1:77" x14ac:dyDescent="0.25">
      <c r="A6" t="s">
        <v>95</v>
      </c>
      <c r="D6" s="34">
        <v>10</v>
      </c>
      <c r="F6">
        <v>10</v>
      </c>
      <c r="J6" t="s">
        <v>95</v>
      </c>
      <c r="K6" s="3"/>
      <c r="M6" s="34">
        <v>10</v>
      </c>
      <c r="O6">
        <v>10</v>
      </c>
      <c r="S6" t="s">
        <v>95</v>
      </c>
      <c r="T6" s="3"/>
      <c r="V6" s="34">
        <v>24</v>
      </c>
      <c r="X6">
        <v>24</v>
      </c>
      <c r="AB6" t="s">
        <v>95</v>
      </c>
      <c r="AC6" s="3"/>
      <c r="AE6" s="34">
        <v>10</v>
      </c>
      <c r="AG6">
        <v>10</v>
      </c>
      <c r="AK6" t="s">
        <v>95</v>
      </c>
      <c r="AL6" s="3"/>
      <c r="AN6" s="34">
        <v>10</v>
      </c>
      <c r="AR6">
        <v>10</v>
      </c>
      <c r="AV6" t="s">
        <v>95</v>
      </c>
      <c r="AW6" s="3"/>
      <c r="AY6" s="34">
        <v>4</v>
      </c>
      <c r="BA6">
        <v>0</v>
      </c>
      <c r="BE6" t="s">
        <v>95</v>
      </c>
      <c r="BF6" s="3"/>
      <c r="BH6" s="34">
        <v>9</v>
      </c>
      <c r="BJ6">
        <v>9</v>
      </c>
      <c r="BN6" t="s">
        <v>95</v>
      </c>
      <c r="BO6" s="3"/>
      <c r="BQ6" s="34">
        <v>0</v>
      </c>
      <c r="BS6">
        <v>0</v>
      </c>
      <c r="BW6" t="s">
        <v>141</v>
      </c>
      <c r="BX6" s="25">
        <f>BQ6+BH6+AY6+AN6+AE6+V6+M6+D6</f>
        <v>77</v>
      </c>
    </row>
    <row r="7" spans="1:77" x14ac:dyDescent="0.25">
      <c r="A7" t="s">
        <v>96</v>
      </c>
      <c r="J7" t="s">
        <v>96</v>
      </c>
      <c r="K7" s="3"/>
      <c r="M7" s="34"/>
      <c r="S7" t="s">
        <v>96</v>
      </c>
      <c r="T7" s="3"/>
      <c r="V7" s="34"/>
      <c r="AB7" t="s">
        <v>96</v>
      </c>
      <c r="AC7" s="3"/>
      <c r="AE7" s="34"/>
      <c r="AK7" t="s">
        <v>96</v>
      </c>
      <c r="AL7" s="3"/>
      <c r="AN7" s="34"/>
      <c r="AV7" t="s">
        <v>96</v>
      </c>
      <c r="AW7" s="3"/>
      <c r="AY7" s="34"/>
      <c r="BE7" t="s">
        <v>96</v>
      </c>
      <c r="BF7" s="3"/>
      <c r="BH7" s="34"/>
      <c r="BN7" t="s">
        <v>96</v>
      </c>
      <c r="BO7" s="3"/>
      <c r="BQ7" s="34"/>
    </row>
    <row r="8" spans="1:77" x14ac:dyDescent="0.25">
      <c r="A8" s="3" t="s">
        <v>17</v>
      </c>
      <c r="J8" s="3" t="s">
        <v>17</v>
      </c>
      <c r="K8" s="3"/>
      <c r="M8" s="34"/>
      <c r="S8" s="3" t="s">
        <v>18</v>
      </c>
      <c r="T8" s="3"/>
      <c r="V8" s="34"/>
      <c r="AB8" s="3" t="s">
        <v>17</v>
      </c>
      <c r="AC8" s="3"/>
      <c r="AE8" s="34"/>
      <c r="AK8" s="3" t="s">
        <v>17</v>
      </c>
      <c r="AN8" s="34"/>
      <c r="AV8" s="3" t="s">
        <v>17</v>
      </c>
      <c r="AW8" s="3"/>
      <c r="AY8" s="34"/>
      <c r="BE8" s="3" t="s">
        <v>17</v>
      </c>
      <c r="BF8" s="3"/>
      <c r="BH8" s="34"/>
      <c r="BN8" s="3" t="s">
        <v>17</v>
      </c>
      <c r="BO8" s="3"/>
      <c r="BQ8" s="34"/>
      <c r="BW8" s="1" t="s">
        <v>10</v>
      </c>
    </row>
    <row r="9" spans="1:77" s="36" customFormat="1" x14ac:dyDescent="0.25">
      <c r="A9" s="36" t="s">
        <v>11</v>
      </c>
      <c r="B9" s="16">
        <v>5415</v>
      </c>
      <c r="D9" s="34">
        <v>4500</v>
      </c>
      <c r="F9" s="36">
        <v>2500</v>
      </c>
      <c r="G9" s="52">
        <f>3602*uitgangspunten!D8</f>
        <v>4202.3333333333339</v>
      </c>
      <c r="J9" s="36" t="s">
        <v>11</v>
      </c>
      <c r="K9" s="16">
        <v>5420</v>
      </c>
      <c r="M9" s="34">
        <v>6620</v>
      </c>
      <c r="O9" s="36">
        <v>4850</v>
      </c>
      <c r="P9" s="52">
        <f>4130*uitgangspunten!$D$8</f>
        <v>4818.3333333333339</v>
      </c>
      <c r="S9" s="36" t="s">
        <v>11</v>
      </c>
      <c r="T9" s="16">
        <v>5430</v>
      </c>
      <c r="V9" s="34"/>
      <c r="X9" s="36">
        <v>500</v>
      </c>
      <c r="Y9" s="36">
        <f>3300*uitgangspunten!D8</f>
        <v>3850.0000000000005</v>
      </c>
      <c r="AB9" s="36" t="s">
        <v>11</v>
      </c>
      <c r="AC9" s="16">
        <v>5410</v>
      </c>
      <c r="AE9" s="25">
        <v>5800</v>
      </c>
      <c r="AG9" s="36">
        <v>3920</v>
      </c>
      <c r="AH9" s="52">
        <f>4956*uitgangspunten!D8</f>
        <v>5782</v>
      </c>
      <c r="AK9" s="36" t="s">
        <v>11</v>
      </c>
      <c r="AL9" s="16">
        <v>5480</v>
      </c>
      <c r="AN9" s="34">
        <v>4600</v>
      </c>
      <c r="AR9" s="36">
        <v>4000</v>
      </c>
      <c r="AS9" s="52">
        <f>3938*uitgangspunten!D8</f>
        <v>4594.3333333333339</v>
      </c>
      <c r="AV9" s="36" t="s">
        <v>75</v>
      </c>
      <c r="AW9" s="16">
        <v>5471</v>
      </c>
      <c r="AY9" s="34">
        <v>15000</v>
      </c>
      <c r="BA9" s="36">
        <v>12550</v>
      </c>
      <c r="BB9" s="52">
        <f>8339*uitgangspunten!D8</f>
        <v>9728.8333333333339</v>
      </c>
      <c r="BE9" s="36" t="s">
        <v>77</v>
      </c>
      <c r="BF9" s="16">
        <v>5421</v>
      </c>
      <c r="BH9" s="34">
        <v>2200</v>
      </c>
      <c r="BJ9" s="36">
        <v>2200</v>
      </c>
      <c r="BK9" s="52">
        <f>1709*uitgangspunten!D8</f>
        <v>1993.8333333333335</v>
      </c>
      <c r="BN9" s="36" t="s">
        <v>77</v>
      </c>
      <c r="BO9" s="16">
        <v>5421</v>
      </c>
      <c r="BQ9" s="34">
        <v>1000</v>
      </c>
      <c r="BS9" s="36">
        <v>500</v>
      </c>
      <c r="BT9" s="52">
        <v>0</v>
      </c>
      <c r="BW9" t="s">
        <v>129</v>
      </c>
      <c r="BX9" s="35">
        <f>D12+M12+V12+AE12+AN12+AY12+BH12+BQ12</f>
        <v>73965</v>
      </c>
    </row>
    <row r="10" spans="1:77" x14ac:dyDescent="0.25">
      <c r="A10" t="s">
        <v>50</v>
      </c>
      <c r="F10">
        <v>1000</v>
      </c>
      <c r="G10">
        <v>0</v>
      </c>
      <c r="J10" t="s">
        <v>50</v>
      </c>
      <c r="K10" s="3"/>
      <c r="M10" s="34">
        <v>0</v>
      </c>
      <c r="O10">
        <v>0</v>
      </c>
      <c r="S10" t="s">
        <v>50</v>
      </c>
      <c r="T10" s="3"/>
      <c r="V10" s="34">
        <v>0</v>
      </c>
      <c r="AB10" t="s">
        <v>50</v>
      </c>
      <c r="AC10" s="3"/>
      <c r="AE10" s="25">
        <v>0</v>
      </c>
      <c r="AK10" t="s">
        <v>50</v>
      </c>
      <c r="AL10" s="3"/>
      <c r="AN10" s="34">
        <v>0</v>
      </c>
      <c r="AR10">
        <v>0</v>
      </c>
      <c r="AS10">
        <v>0</v>
      </c>
      <c r="AV10" t="s">
        <v>50</v>
      </c>
      <c r="AW10" s="3">
        <v>5470</v>
      </c>
      <c r="AY10" s="34">
        <v>20000</v>
      </c>
      <c r="BA10">
        <v>17500</v>
      </c>
      <c r="BB10">
        <f>14646*uitgangspunten!D8</f>
        <v>17087</v>
      </c>
      <c r="BE10" t="s">
        <v>50</v>
      </c>
      <c r="BF10" s="3"/>
      <c r="BH10" s="34">
        <f>10000*uitgangspunten!J3</f>
        <v>0</v>
      </c>
      <c r="BJ10">
        <v>0</v>
      </c>
      <c r="BK10">
        <v>0</v>
      </c>
      <c r="BN10" t="s">
        <v>50</v>
      </c>
      <c r="BO10" s="3"/>
      <c r="BQ10" s="34"/>
      <c r="BS10">
        <v>0</v>
      </c>
      <c r="BT10">
        <v>0</v>
      </c>
      <c r="BW10" t="s">
        <v>135</v>
      </c>
      <c r="BX10" s="22">
        <f>F12+O12+X12+AR12+AG12+BA12+BJ12+BS12-2</f>
        <v>65424</v>
      </c>
    </row>
    <row r="11" spans="1:77" x14ac:dyDescent="0.25">
      <c r="A11" t="s">
        <v>9</v>
      </c>
      <c r="D11" s="34">
        <f>D6*uitgangspunten!$B$5</f>
        <v>1850</v>
      </c>
      <c r="F11">
        <v>2179</v>
      </c>
      <c r="G11" s="34"/>
      <c r="J11" t="s">
        <v>9</v>
      </c>
      <c r="K11" s="3"/>
      <c r="M11" s="34">
        <f>M6*uitgangspunten!$B$5</f>
        <v>1850</v>
      </c>
      <c r="O11">
        <v>2179</v>
      </c>
      <c r="P11" s="34"/>
      <c r="S11" t="s">
        <v>9</v>
      </c>
      <c r="T11" s="3"/>
      <c r="V11" s="34">
        <f>V6*uitgangspunten!$B$5</f>
        <v>4440</v>
      </c>
      <c r="X11">
        <v>5229</v>
      </c>
      <c r="Y11" s="34"/>
      <c r="AB11" t="s">
        <v>9</v>
      </c>
      <c r="AC11" s="3"/>
      <c r="AE11" s="34">
        <f>AE6*uitgangspunten!$B$5</f>
        <v>1850</v>
      </c>
      <c r="AG11">
        <v>2179</v>
      </c>
      <c r="AH11" s="34"/>
      <c r="AK11" t="s">
        <v>9</v>
      </c>
      <c r="AN11" s="34">
        <f>AN6*uitgangspunten!$B$5</f>
        <v>1850</v>
      </c>
      <c r="AR11">
        <v>2179</v>
      </c>
      <c r="AS11" s="34">
        <f>AR11</f>
        <v>2179</v>
      </c>
      <c r="AV11" t="s">
        <v>9</v>
      </c>
      <c r="AW11" s="3"/>
      <c r="AY11" s="34">
        <f>AY6*uitgangspunten!$B$5</f>
        <v>740</v>
      </c>
      <c r="BB11" s="34">
        <f>BA11</f>
        <v>0</v>
      </c>
      <c r="BE11" t="s">
        <v>9</v>
      </c>
      <c r="BF11" s="3"/>
      <c r="BH11" s="34">
        <f>BH6*uitgangspunten!$B$5</f>
        <v>1665</v>
      </c>
      <c r="BJ11">
        <v>1961</v>
      </c>
      <c r="BK11" s="34">
        <v>0</v>
      </c>
      <c r="BN11" t="s">
        <v>9</v>
      </c>
      <c r="BO11" s="3"/>
      <c r="BQ11" s="34">
        <f>BQ6*uitgangspunten!$B$5</f>
        <v>0</v>
      </c>
      <c r="BS11">
        <v>0</v>
      </c>
      <c r="BT11" s="34">
        <v>0</v>
      </c>
      <c r="BW11" t="s">
        <v>79</v>
      </c>
      <c r="BX11" s="35">
        <f>G12+P12+Y12+AH12+AS12+BB12+BK12+BT12</f>
        <v>54235.666666666672</v>
      </c>
    </row>
    <row r="12" spans="1:77" x14ac:dyDescent="0.25">
      <c r="D12" s="33">
        <f>SUM(D9:D11)</f>
        <v>6350</v>
      </c>
      <c r="F12" s="33">
        <f>SUM(F9:F11)</f>
        <v>5679</v>
      </c>
      <c r="G12" s="33">
        <f>SUM(G9:G11)</f>
        <v>4202.3333333333339</v>
      </c>
      <c r="K12" s="3"/>
      <c r="M12" s="33">
        <f>SUM(M9:M11)</f>
        <v>8470</v>
      </c>
      <c r="O12" s="33">
        <f>SUM(O9:O11)</f>
        <v>7029</v>
      </c>
      <c r="P12" s="33">
        <f>SUM(P9:P11)</f>
        <v>4818.3333333333339</v>
      </c>
      <c r="T12" s="3"/>
      <c r="V12" s="33">
        <f>SUM(V9:V11)</f>
        <v>4440</v>
      </c>
      <c r="X12" s="33">
        <f>SUM(X9:X11)</f>
        <v>5729</v>
      </c>
      <c r="Y12" s="33">
        <f>SUM(Y9:Y11)</f>
        <v>3850.0000000000005</v>
      </c>
      <c r="AC12" s="3"/>
      <c r="AE12" s="33">
        <f>SUM(AE9:AE11)</f>
        <v>7650</v>
      </c>
      <c r="AG12" s="33">
        <f>SUM(AG9:AG11)</f>
        <v>6099</v>
      </c>
      <c r="AH12" s="33">
        <f>SUM(AH9:AH11)</f>
        <v>5782</v>
      </c>
      <c r="AL12" s="3"/>
      <c r="AN12" s="33">
        <f>SUM(AN9:AN11)</f>
        <v>6450</v>
      </c>
      <c r="AR12" s="33">
        <f>SUM(AR9:AR11)</f>
        <v>6179</v>
      </c>
      <c r="AS12" s="33">
        <f>SUM(AS9:AS11)</f>
        <v>6773.3333333333339</v>
      </c>
      <c r="AV12" s="12"/>
      <c r="AY12" s="33">
        <f>SUM(AY9:AY11)</f>
        <v>35740</v>
      </c>
      <c r="BA12" s="33">
        <f>SUM(BA9:BA11)</f>
        <v>30050</v>
      </c>
      <c r="BB12" s="33">
        <f>SUM(BB9:BB11)</f>
        <v>26815.833333333336</v>
      </c>
      <c r="BE12" s="12"/>
      <c r="BH12" s="33">
        <f>SUM(BH9:BH11)</f>
        <v>3865</v>
      </c>
      <c r="BJ12" s="33">
        <f>SUM(BJ9:BJ11)</f>
        <v>4161</v>
      </c>
      <c r="BK12" s="33">
        <f>SUM(BK9:BK11)</f>
        <v>1993.8333333333335</v>
      </c>
      <c r="BN12" s="12"/>
      <c r="BQ12" s="33">
        <f>SUM(BQ9:BQ11)</f>
        <v>1000</v>
      </c>
      <c r="BS12" s="33">
        <f>SUM(BS9:BS11)</f>
        <v>500</v>
      </c>
      <c r="BT12" s="33">
        <f>SUM(BT9:BT11)</f>
        <v>0</v>
      </c>
    </row>
    <row r="13" spans="1:77" x14ac:dyDescent="0.25">
      <c r="K13" s="3"/>
      <c r="M13" s="34"/>
      <c r="T13" s="3"/>
      <c r="V13" s="34"/>
      <c r="AC13" s="3"/>
      <c r="AE13" s="34"/>
      <c r="AL13" s="3"/>
      <c r="AN13" s="34"/>
      <c r="AW13" s="3"/>
      <c r="AY13" s="31"/>
      <c r="BF13" s="3"/>
      <c r="BH13" s="31"/>
      <c r="BO13" s="3"/>
      <c r="BQ13" s="31"/>
    </row>
    <row r="15" spans="1:77" x14ac:dyDescent="0.25">
      <c r="A15" s="3" t="s">
        <v>47</v>
      </c>
      <c r="J15" s="3" t="s">
        <v>47</v>
      </c>
      <c r="K15" s="3"/>
      <c r="M15" s="34"/>
      <c r="S15" s="3" t="s">
        <v>47</v>
      </c>
      <c r="T15" s="3"/>
      <c r="V15" s="34"/>
      <c r="AB15" s="3" t="s">
        <v>47</v>
      </c>
      <c r="AC15" s="3"/>
      <c r="AE15" s="34"/>
      <c r="AK15" s="3" t="s">
        <v>47</v>
      </c>
      <c r="AL15" s="3"/>
      <c r="AN15" s="34"/>
      <c r="AV15" s="3" t="s">
        <v>47</v>
      </c>
      <c r="AW15" s="3"/>
      <c r="AY15" s="31"/>
      <c r="BE15" s="3" t="s">
        <v>47</v>
      </c>
      <c r="BF15" s="3"/>
      <c r="BH15" s="31"/>
      <c r="BN15" s="3" t="s">
        <v>47</v>
      </c>
      <c r="BO15" s="3"/>
      <c r="BQ15" s="31"/>
      <c r="BW15" s="1" t="s">
        <v>16</v>
      </c>
      <c r="BY15" s="25"/>
    </row>
    <row r="16" spans="1:77" x14ac:dyDescent="0.25">
      <c r="A16" t="s">
        <v>134</v>
      </c>
      <c r="D16" s="34">
        <f>D6*uitgangspunten!$D$15</f>
        <v>1493.5064935064934</v>
      </c>
      <c r="F16">
        <v>1554</v>
      </c>
      <c r="J16" t="s">
        <v>134</v>
      </c>
      <c r="M16" s="34">
        <f>M6*uitgangspunten!$D$15</f>
        <v>1493.5064935064934</v>
      </c>
      <c r="O16">
        <v>1554</v>
      </c>
      <c r="S16" t="s">
        <v>134</v>
      </c>
      <c r="V16" s="34">
        <f>V6*uitgangspunten!$D$15</f>
        <v>3584.4155844155844</v>
      </c>
      <c r="X16">
        <v>3729</v>
      </c>
      <c r="AB16" t="s">
        <v>134</v>
      </c>
      <c r="AC16" s="3"/>
      <c r="AE16" s="34">
        <f>AE6*uitgangspunten!$D$15</f>
        <v>1493.5064935064934</v>
      </c>
      <c r="AG16">
        <v>1554</v>
      </c>
      <c r="AK16" t="s">
        <v>134</v>
      </c>
      <c r="AL16" s="3"/>
      <c r="AN16" s="34">
        <f>AN6*uitgangspunten!$D$15</f>
        <v>1493.5064935064934</v>
      </c>
      <c r="AR16">
        <v>1554</v>
      </c>
      <c r="AV16" t="s">
        <v>134</v>
      </c>
      <c r="AY16" s="34">
        <f>AY6*uitgangspunten!$D$15</f>
        <v>597.40259740259739</v>
      </c>
      <c r="BE16" t="s">
        <v>134</v>
      </c>
      <c r="BF16" s="3">
        <v>8421</v>
      </c>
      <c r="BH16" s="34">
        <f>BH6*uitgangspunten!$D$15</f>
        <v>1344.1558441558441</v>
      </c>
      <c r="BJ16">
        <v>1398</v>
      </c>
      <c r="BK16">
        <v>0</v>
      </c>
      <c r="BN16" t="s">
        <v>134</v>
      </c>
      <c r="BQ16" s="34">
        <f>BQ6*uitgangspunten!$D$15</f>
        <v>0</v>
      </c>
      <c r="BW16" t="s">
        <v>129</v>
      </c>
      <c r="BX16" s="22">
        <f>D19+M19+V19+AE19+AN19+AY19+BH19+BQ19</f>
        <v>25050</v>
      </c>
    </row>
    <row r="17" spans="1:76" x14ac:dyDescent="0.25">
      <c r="A17" t="s">
        <v>7</v>
      </c>
      <c r="D17" s="34">
        <v>0</v>
      </c>
      <c r="J17" t="s">
        <v>7</v>
      </c>
      <c r="K17" s="3">
        <v>8420</v>
      </c>
      <c r="M17" s="34">
        <v>1050</v>
      </c>
      <c r="O17">
        <v>2000</v>
      </c>
      <c r="P17">
        <v>1050</v>
      </c>
      <c r="Q17" t="s">
        <v>80</v>
      </c>
      <c r="S17" t="s">
        <v>48</v>
      </c>
      <c r="T17" s="3"/>
      <c r="V17" s="34">
        <v>0</v>
      </c>
      <c r="Y17">
        <v>0</v>
      </c>
      <c r="AB17" t="s">
        <v>7</v>
      </c>
      <c r="AC17" s="3"/>
      <c r="AE17" s="34">
        <v>0</v>
      </c>
      <c r="AH17">
        <v>0</v>
      </c>
      <c r="AK17" t="s">
        <v>49</v>
      </c>
      <c r="AL17" s="3">
        <v>8480</v>
      </c>
      <c r="AM17" s="1"/>
      <c r="AN17" s="34">
        <v>0</v>
      </c>
      <c r="AV17" t="s">
        <v>74</v>
      </c>
      <c r="AW17" s="3">
        <v>8471</v>
      </c>
      <c r="AY17" s="34">
        <v>2500</v>
      </c>
      <c r="BA17">
        <v>2000</v>
      </c>
      <c r="BB17">
        <v>2500</v>
      </c>
      <c r="BE17" t="s">
        <v>7</v>
      </c>
      <c r="BF17" s="3"/>
      <c r="BH17" s="34"/>
      <c r="BN17" t="s">
        <v>7</v>
      </c>
      <c r="BO17" s="3">
        <v>8421</v>
      </c>
      <c r="BQ17" s="34">
        <v>0</v>
      </c>
      <c r="BS17">
        <v>0</v>
      </c>
      <c r="BT17">
        <v>0</v>
      </c>
      <c r="BW17" t="s">
        <v>135</v>
      </c>
      <c r="BX17" s="35">
        <f>F19+O19+X19+AG19+AR19+BA19+BJ19+BS19</f>
        <v>40343</v>
      </c>
    </row>
    <row r="18" spans="1:76" x14ac:dyDescent="0.25">
      <c r="AV18" t="s">
        <v>76</v>
      </c>
      <c r="AW18" s="3">
        <v>8470</v>
      </c>
      <c r="AY18" s="34">
        <v>10000</v>
      </c>
      <c r="BA18">
        <v>25000</v>
      </c>
      <c r="BB18">
        <v>10000</v>
      </c>
      <c r="BC18" s="22"/>
      <c r="BD18" s="22"/>
      <c r="BW18" t="s">
        <v>79</v>
      </c>
      <c r="BX18" s="35">
        <f>G19+P19+Y19+AH19+AS19+BB19+BK19+BT19</f>
        <v>13550</v>
      </c>
    </row>
    <row r="19" spans="1:76" x14ac:dyDescent="0.25">
      <c r="D19" s="33">
        <f>SUM(D16:D18)</f>
        <v>1493.5064935064934</v>
      </c>
      <c r="F19" s="33">
        <f>SUM(F16:F18)</f>
        <v>1554</v>
      </c>
      <c r="G19" s="33">
        <f>SUM(G16:G18)</f>
        <v>0</v>
      </c>
      <c r="K19" s="3"/>
      <c r="M19" s="33">
        <f>SUM(M16:M18)</f>
        <v>2543.5064935064934</v>
      </c>
      <c r="O19" s="33">
        <f>SUM(O16:O18)</f>
        <v>3554</v>
      </c>
      <c r="P19" s="33">
        <f>SUM(P16:P18)</f>
        <v>1050</v>
      </c>
      <c r="S19" s="3"/>
      <c r="T19" s="3"/>
      <c r="V19" s="33">
        <f>SUM(V16:V18)</f>
        <v>3584.4155844155844</v>
      </c>
      <c r="X19" s="33">
        <f>SUM(X16:X18)</f>
        <v>3729</v>
      </c>
      <c r="Y19" s="33">
        <f>SUM(Y16:Y18)</f>
        <v>0</v>
      </c>
      <c r="AB19" s="3"/>
      <c r="AC19" s="3"/>
      <c r="AE19" s="33">
        <f>SUM(AE16:AE18)</f>
        <v>1493.5064935064934</v>
      </c>
      <c r="AG19" s="33">
        <f>SUM(AG16:AG18)</f>
        <v>1554</v>
      </c>
      <c r="AH19" s="33">
        <f>SUM(AH16:AH18)</f>
        <v>0</v>
      </c>
      <c r="AK19" s="3"/>
      <c r="AL19" s="3"/>
      <c r="AN19" s="33">
        <f>SUM(AN16:AN18)</f>
        <v>1493.5064935064934</v>
      </c>
      <c r="AR19" s="33">
        <f>SUM(AR16:AR18)</f>
        <v>1554</v>
      </c>
      <c r="AS19" s="33">
        <f>SUM(AS16:AS18)</f>
        <v>0</v>
      </c>
      <c r="AV19" s="1"/>
      <c r="AW19" s="4"/>
      <c r="AX19" s="1"/>
      <c r="AY19" s="33">
        <f>SUM(AY16:AY18)</f>
        <v>13097.402597402597</v>
      </c>
      <c r="AZ19" s="1"/>
      <c r="BA19" s="33">
        <f>SUM(BA16:BA18)</f>
        <v>27000</v>
      </c>
      <c r="BB19" s="33">
        <f>SUM(BB16:BB18)</f>
        <v>12500</v>
      </c>
      <c r="BE19" s="1"/>
      <c r="BF19" s="4"/>
      <c r="BG19" s="1"/>
      <c r="BH19" s="33">
        <f>SUM(BH16:BH18)</f>
        <v>1344.1558441558441</v>
      </c>
      <c r="BI19" s="1"/>
      <c r="BJ19" s="33">
        <f>SUM(BJ16:BJ18)</f>
        <v>1398</v>
      </c>
      <c r="BK19" s="33">
        <f>SUM(BK16:BK18)</f>
        <v>0</v>
      </c>
      <c r="BL19" s="22"/>
      <c r="BN19" s="1"/>
      <c r="BO19" s="4"/>
      <c r="BP19" s="1"/>
      <c r="BQ19" s="33">
        <f>SUM(BQ16:BQ18)</f>
        <v>0</v>
      </c>
      <c r="BR19" s="1"/>
      <c r="BS19" s="33">
        <f>SUM(BS16:BS18)</f>
        <v>0</v>
      </c>
      <c r="BT19" s="33">
        <f>SUM(BT16:BT18)</f>
        <v>0</v>
      </c>
      <c r="BU19" s="22"/>
      <c r="BV19" s="22"/>
    </row>
    <row r="20" spans="1:76" x14ac:dyDescent="0.25">
      <c r="AV20" s="15"/>
      <c r="AY20" s="34"/>
      <c r="BA20" s="34"/>
      <c r="BB20" s="34"/>
    </row>
    <row r="21" spans="1:76" x14ac:dyDescent="0.25">
      <c r="A21" s="15"/>
      <c r="F21" s="34"/>
      <c r="G21" s="34"/>
      <c r="J21" s="15"/>
      <c r="M21" s="34"/>
      <c r="O21" s="34"/>
      <c r="P21" s="34"/>
      <c r="S21" s="15"/>
      <c r="V21" s="34"/>
      <c r="X21" s="34"/>
      <c r="Y21" s="34"/>
      <c r="AB21" s="15"/>
      <c r="AE21" s="34"/>
      <c r="AG21" s="34"/>
      <c r="AH21" s="34"/>
      <c r="AK21" s="15"/>
      <c r="AN21" s="34"/>
      <c r="AR21" s="34"/>
      <c r="AS21" s="34"/>
      <c r="BE21" s="15"/>
      <c r="BH21" s="34"/>
      <c r="BJ21" s="34"/>
      <c r="BK21" s="34"/>
      <c r="BN21" s="15"/>
      <c r="BQ21" s="34"/>
      <c r="BS21" s="34"/>
      <c r="BT21" s="34"/>
      <c r="BW21" s="4"/>
      <c r="BX21" s="22"/>
    </row>
    <row r="22" spans="1:76" x14ac:dyDescent="0.25">
      <c r="BX22" s="22"/>
    </row>
    <row r="23" spans="1:76" x14ac:dyDescent="0.25">
      <c r="BW23" s="4"/>
      <c r="BX23" s="22"/>
    </row>
    <row r="24" spans="1:76" x14ac:dyDescent="0.25">
      <c r="BW24" s="4"/>
      <c r="BX24" s="22"/>
    </row>
    <row r="29" spans="1:76" x14ac:dyDescent="0.25">
      <c r="H29" s="25"/>
    </row>
    <row r="36" spans="5:74" x14ac:dyDescent="0.25">
      <c r="AL36" s="1"/>
      <c r="AM36" s="1"/>
    </row>
    <row r="37" spans="5:74" x14ac:dyDescent="0.25">
      <c r="AK37" s="1"/>
      <c r="AN37" s="1"/>
      <c r="AV37" s="1"/>
      <c r="AW37" s="1"/>
      <c r="AX37" s="1"/>
      <c r="AY37" s="1"/>
      <c r="AZ37" s="1"/>
      <c r="BC37" s="1"/>
      <c r="BD37" s="1"/>
      <c r="BE37" s="1"/>
      <c r="BF37" s="1"/>
      <c r="BG37" s="1"/>
      <c r="BH37" s="1"/>
      <c r="BI37" s="1"/>
      <c r="BL37" s="1"/>
      <c r="BN37" s="1"/>
      <c r="BO37" s="1"/>
      <c r="BP37" s="1"/>
      <c r="BQ37" s="1"/>
      <c r="BR37" s="1"/>
      <c r="BU37" s="1"/>
      <c r="BV37" s="1"/>
    </row>
    <row r="38" spans="5:74" s="1" customFormat="1" x14ac:dyDescent="0.25">
      <c r="AK38"/>
      <c r="AL38"/>
      <c r="AM38"/>
      <c r="AN38"/>
      <c r="AV38"/>
      <c r="AW38"/>
      <c r="AX38"/>
      <c r="AY38"/>
      <c r="AZ38"/>
      <c r="BC38"/>
      <c r="BD38"/>
      <c r="BE38"/>
      <c r="BF38"/>
      <c r="BG38"/>
      <c r="BH38"/>
      <c r="BI38"/>
      <c r="BL38"/>
      <c r="BN38"/>
      <c r="BO38"/>
      <c r="BP38"/>
      <c r="BQ38"/>
      <c r="BR38"/>
      <c r="BU38"/>
      <c r="BV38"/>
    </row>
    <row r="44" spans="5:74" x14ac:dyDescent="0.25">
      <c r="E44" s="4"/>
      <c r="F44" s="4"/>
      <c r="G44" s="4"/>
      <c r="H44" s="4"/>
      <c r="O44" s="4"/>
      <c r="P44" s="4"/>
      <c r="X44" s="4"/>
      <c r="Y44" s="4"/>
      <c r="AG44" s="4"/>
      <c r="AH44" s="4"/>
      <c r="AR44" s="4"/>
      <c r="AS44" s="4"/>
      <c r="BA44" s="4"/>
      <c r="BB44" s="4"/>
      <c r="BJ44" s="4"/>
      <c r="BK44" s="4"/>
      <c r="BS44" s="4"/>
      <c r="BT44" s="4"/>
    </row>
    <row r="45" spans="5:74" x14ac:dyDescent="0.25">
      <c r="E45" s="4"/>
      <c r="F45" s="4"/>
      <c r="G45" s="4"/>
      <c r="H45" s="4"/>
      <c r="O45" s="4"/>
      <c r="P45" s="4"/>
      <c r="X45" s="4"/>
      <c r="Y45" s="4"/>
      <c r="AG45" s="4"/>
      <c r="AH45" s="4"/>
      <c r="AR45" s="4"/>
      <c r="AS45" s="4"/>
      <c r="BA45" s="4"/>
      <c r="BB45" s="4"/>
      <c r="BJ45" s="4"/>
      <c r="BK45" s="4"/>
      <c r="BS45" s="4"/>
      <c r="BT45" s="4"/>
    </row>
    <row r="48" spans="5:74" x14ac:dyDescent="0.25">
      <c r="AL48" s="1"/>
      <c r="AM48" s="1"/>
    </row>
    <row r="49" spans="1:74" x14ac:dyDescent="0.25">
      <c r="AK49" s="1"/>
      <c r="AN49" s="1"/>
      <c r="AV49" s="1"/>
      <c r="AW49" s="1"/>
      <c r="AX49" s="1"/>
      <c r="AY49" s="1"/>
      <c r="AZ49" s="1"/>
      <c r="BC49" s="1"/>
      <c r="BD49" s="1"/>
      <c r="BE49" s="1"/>
      <c r="BF49" s="1"/>
      <c r="BG49" s="1"/>
      <c r="BH49" s="1"/>
      <c r="BI49" s="1"/>
      <c r="BL49" s="1"/>
      <c r="BN49" s="1"/>
      <c r="BO49" s="1"/>
      <c r="BP49" s="1"/>
      <c r="BQ49" s="1"/>
      <c r="BR49" s="1"/>
      <c r="BU49" s="1"/>
      <c r="BV49" s="1"/>
    </row>
    <row r="50" spans="1:74" s="1" customFormat="1" x14ac:dyDescent="0.25">
      <c r="A50"/>
      <c r="B50" s="3"/>
      <c r="C50"/>
      <c r="D50" s="34"/>
      <c r="E50"/>
      <c r="F50"/>
      <c r="G50"/>
      <c r="H50"/>
      <c r="O50"/>
      <c r="P50"/>
      <c r="X50"/>
      <c r="Y50"/>
      <c r="AG50"/>
      <c r="AH50"/>
      <c r="AK50"/>
      <c r="AL50"/>
      <c r="AM50"/>
      <c r="AN50"/>
      <c r="AR50"/>
      <c r="AS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N50"/>
      <c r="BO50"/>
      <c r="BP50"/>
      <c r="BQ50"/>
      <c r="BR50"/>
      <c r="BS50"/>
      <c r="BT50"/>
      <c r="BU50"/>
      <c r="BV50"/>
    </row>
    <row r="53" spans="1:74" x14ac:dyDescent="0.25">
      <c r="AL53" s="4"/>
      <c r="AM53" s="4"/>
    </row>
    <row r="54" spans="1:74" x14ac:dyDescent="0.25">
      <c r="AK54" s="4"/>
      <c r="AL54" s="4"/>
      <c r="AM54" s="4"/>
      <c r="AN54" s="4"/>
      <c r="AV54" s="4"/>
      <c r="AW54" s="4"/>
      <c r="AX54" s="4"/>
      <c r="AY54" s="4"/>
      <c r="AZ54" s="4"/>
      <c r="BC54" s="4"/>
      <c r="BD54" s="4"/>
      <c r="BE54" s="4"/>
      <c r="BF54" s="4"/>
      <c r="BG54" s="4"/>
      <c r="BH54" s="4"/>
      <c r="BI54" s="4"/>
      <c r="BL54" s="4"/>
      <c r="BN54" s="4"/>
      <c r="BO54" s="4"/>
      <c r="BP54" s="4"/>
      <c r="BQ54" s="4"/>
      <c r="BR54" s="4"/>
      <c r="BU54" s="4"/>
      <c r="BV54" s="4"/>
    </row>
    <row r="55" spans="1:74" s="4" customFormat="1" x14ac:dyDescent="0.25">
      <c r="A55"/>
      <c r="B55" s="3"/>
      <c r="C55"/>
      <c r="D55" s="34"/>
      <c r="E55"/>
      <c r="F55"/>
      <c r="G55"/>
      <c r="H55"/>
      <c r="O55"/>
      <c r="P55"/>
      <c r="X55"/>
      <c r="Y55"/>
      <c r="AG55"/>
      <c r="AH55"/>
      <c r="AL55"/>
      <c r="AM55"/>
      <c r="AR55"/>
      <c r="AS55"/>
      <c r="BA55"/>
      <c r="BB55"/>
      <c r="BJ55"/>
      <c r="BK55"/>
      <c r="BS55"/>
      <c r="BT55"/>
    </row>
    <row r="56" spans="1:74" s="4" customFormat="1" x14ac:dyDescent="0.25">
      <c r="A56"/>
      <c r="B56" s="3"/>
      <c r="C56"/>
      <c r="D56" s="34"/>
      <c r="E56"/>
      <c r="F56"/>
      <c r="G56"/>
      <c r="H56"/>
      <c r="O56"/>
      <c r="P56"/>
      <c r="X56"/>
      <c r="Y56"/>
      <c r="AG56"/>
      <c r="AH56"/>
      <c r="AK56"/>
      <c r="AL56"/>
      <c r="AM56"/>
      <c r="AN56"/>
      <c r="AR56"/>
      <c r="AS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N56"/>
      <c r="BO56"/>
      <c r="BP56"/>
      <c r="BQ56"/>
      <c r="BR56"/>
      <c r="BS56"/>
      <c r="BT56"/>
      <c r="BU56"/>
      <c r="BV56"/>
    </row>
  </sheetData>
  <pageMargins left="0.75" right="0.75" top="1" bottom="1" header="0.5" footer="0.5"/>
  <pageSetup paperSize="9" fitToWidth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4"/>
  <sheetViews>
    <sheetView topLeftCell="A12" zoomScaleNormal="100" workbookViewId="0">
      <selection activeCell="D28" sqref="D28"/>
    </sheetView>
  </sheetViews>
  <sheetFormatPr defaultColWidth="10.875" defaultRowHeight="15.75" x14ac:dyDescent="0.25"/>
  <cols>
    <col min="1" max="1" width="51.375" customWidth="1"/>
    <col min="2" max="2" width="11.875" style="3" hidden="1" customWidth="1"/>
    <col min="3" max="3" width="1.625" customWidth="1"/>
    <col min="4" max="4" width="10.875" style="6"/>
    <col min="5" max="5" width="3.875" customWidth="1"/>
    <col min="6" max="6" width="8.375" customWidth="1"/>
    <col min="7" max="7" width="3.875" customWidth="1"/>
    <col min="8" max="8" width="9.625" customWidth="1"/>
    <col min="9" max="9" width="1.375" hidden="1" customWidth="1"/>
    <col min="10" max="10" width="1.375" style="18" hidden="1" customWidth="1"/>
    <col min="11" max="11" width="1.375" hidden="1" customWidth="1"/>
    <col min="12" max="12" width="12.875" customWidth="1"/>
  </cols>
  <sheetData>
    <row r="1" spans="1:12" x14ac:dyDescent="0.25">
      <c r="A1" s="2" t="s">
        <v>132</v>
      </c>
      <c r="B1" s="4"/>
      <c r="C1" s="1"/>
      <c r="D1" s="8"/>
      <c r="E1" s="8"/>
      <c r="F1" s="8"/>
      <c r="G1" s="8"/>
      <c r="H1" s="8"/>
    </row>
    <row r="2" spans="1:12" ht="31.5" x14ac:dyDescent="0.25">
      <c r="B2" s="3" t="s">
        <v>13</v>
      </c>
      <c r="D2" s="44" t="s">
        <v>118</v>
      </c>
      <c r="E2" s="7"/>
      <c r="F2" s="46" t="s">
        <v>78</v>
      </c>
      <c r="G2" s="9"/>
      <c r="H2" s="46" t="s">
        <v>79</v>
      </c>
      <c r="J2" s="19" t="s">
        <v>25</v>
      </c>
      <c r="L2" s="5" t="s">
        <v>12</v>
      </c>
    </row>
    <row r="3" spans="1:12" x14ac:dyDescent="0.25">
      <c r="A3" s="1" t="s">
        <v>91</v>
      </c>
      <c r="D3" s="34"/>
      <c r="E3" s="25"/>
      <c r="F3" s="25"/>
      <c r="G3" s="22"/>
      <c r="H3" s="25"/>
      <c r="J3" s="19"/>
    </row>
    <row r="4" spans="1:12" x14ac:dyDescent="0.25">
      <c r="A4" t="s">
        <v>38</v>
      </c>
      <c r="D4" s="34">
        <v>0</v>
      </c>
      <c r="E4" s="25"/>
      <c r="F4" s="25"/>
      <c r="G4" s="22"/>
      <c r="H4" s="25">
        <v>0</v>
      </c>
      <c r="J4" s="19"/>
    </row>
    <row r="5" spans="1:12" x14ac:dyDescent="0.25">
      <c r="A5" t="s">
        <v>54</v>
      </c>
      <c r="D5" s="34"/>
      <c r="E5" s="25"/>
      <c r="F5" s="25">
        <v>1000</v>
      </c>
      <c r="G5" s="22"/>
      <c r="H5" s="25"/>
      <c r="J5" s="19"/>
    </row>
    <row r="6" spans="1:12" x14ac:dyDescent="0.25">
      <c r="B6" s="3">
        <v>5600</v>
      </c>
      <c r="D6" s="26">
        <f>SUM(D4:D5)</f>
        <v>0</v>
      </c>
      <c r="E6" s="24"/>
      <c r="F6" s="26">
        <f>SUM(F4:F5)</f>
        <v>1000</v>
      </c>
      <c r="G6" s="24"/>
      <c r="H6" s="26">
        <f>SUM(H4:H5)</f>
        <v>0</v>
      </c>
      <c r="J6" s="18" t="e">
        <f>F6/D6</f>
        <v>#DIV/0!</v>
      </c>
    </row>
    <row r="7" spans="1:12" x14ac:dyDescent="0.25">
      <c r="D7" s="31"/>
      <c r="E7" s="23"/>
      <c r="F7" s="25"/>
      <c r="G7" s="24"/>
      <c r="H7" s="25"/>
    </row>
    <row r="8" spans="1:12" x14ac:dyDescent="0.25">
      <c r="A8" s="3" t="s">
        <v>55</v>
      </c>
      <c r="D8" s="33">
        <v>0</v>
      </c>
      <c r="E8" s="23"/>
      <c r="F8" s="26"/>
      <c r="G8" s="24"/>
      <c r="H8" s="26"/>
      <c r="J8" s="18" t="e">
        <f>F8/D8</f>
        <v>#DIV/0!</v>
      </c>
    </row>
    <row r="9" spans="1:12" x14ac:dyDescent="0.25">
      <c r="A9" s="3"/>
      <c r="D9" s="8"/>
      <c r="E9" s="7"/>
      <c r="F9" s="8"/>
      <c r="G9" s="9"/>
      <c r="H9" s="8"/>
    </row>
    <row r="10" spans="1:12" x14ac:dyDescent="0.25">
      <c r="A10" s="1" t="s">
        <v>85</v>
      </c>
      <c r="E10" s="6"/>
      <c r="F10" s="6"/>
      <c r="G10" s="8"/>
      <c r="H10" s="6"/>
      <c r="J10" s="19"/>
    </row>
    <row r="11" spans="1:12" x14ac:dyDescent="0.25">
      <c r="A11" t="s">
        <v>45</v>
      </c>
      <c r="D11" s="34"/>
      <c r="E11" s="6"/>
      <c r="F11" s="6">
        <v>300</v>
      </c>
      <c r="G11" s="8"/>
      <c r="H11" s="6">
        <v>300</v>
      </c>
      <c r="J11" s="19"/>
    </row>
    <row r="12" spans="1:12" x14ac:dyDescent="0.25">
      <c r="A12" t="s">
        <v>51</v>
      </c>
      <c r="D12" s="34"/>
      <c r="E12" s="6"/>
      <c r="F12" s="6">
        <v>300</v>
      </c>
      <c r="G12" s="8"/>
      <c r="H12" s="6">
        <v>0</v>
      </c>
      <c r="J12" s="19"/>
    </row>
    <row r="13" spans="1:12" x14ac:dyDescent="0.25">
      <c r="B13" s="3">
        <v>5700</v>
      </c>
      <c r="D13" s="13">
        <f>SUM(D11:D12)</f>
        <v>0</v>
      </c>
      <c r="E13" s="7"/>
      <c r="F13" s="13">
        <f>SUM(F11:F12)</f>
        <v>600</v>
      </c>
      <c r="G13" s="9"/>
      <c r="H13" s="13">
        <f>SUM(H11:H12)</f>
        <v>300</v>
      </c>
      <c r="J13" s="18" t="e">
        <f>F13/D13</f>
        <v>#DIV/0!</v>
      </c>
    </row>
    <row r="14" spans="1:12" x14ac:dyDescent="0.25">
      <c r="D14" s="8"/>
      <c r="E14" s="7"/>
      <c r="F14" s="6"/>
      <c r="G14" s="9"/>
      <c r="H14" s="6"/>
    </row>
    <row r="15" spans="1:12" x14ac:dyDescent="0.25">
      <c r="A15" s="3" t="s">
        <v>16</v>
      </c>
      <c r="D15" s="13">
        <v>0</v>
      </c>
      <c r="E15" s="7"/>
      <c r="F15" s="13">
        <v>0</v>
      </c>
      <c r="G15" s="9"/>
      <c r="H15" s="13">
        <f>F15</f>
        <v>0</v>
      </c>
      <c r="J15" s="18" t="s">
        <v>26</v>
      </c>
    </row>
    <row r="16" spans="1:12" x14ac:dyDescent="0.25">
      <c r="D16" s="34"/>
      <c r="E16" s="25"/>
      <c r="F16" s="25"/>
      <c r="G16" s="25"/>
      <c r="H16" s="25"/>
    </row>
    <row r="17" spans="1:10" x14ac:dyDescent="0.25">
      <c r="A17" s="1" t="s">
        <v>44</v>
      </c>
      <c r="E17" s="6"/>
      <c r="F17" s="6"/>
      <c r="G17" s="8"/>
      <c r="H17" s="6"/>
      <c r="J17" s="19"/>
    </row>
    <row r="18" spans="1:10" x14ac:dyDescent="0.25">
      <c r="A18" t="s">
        <v>86</v>
      </c>
      <c r="D18" s="6">
        <v>2275</v>
      </c>
      <c r="E18" s="6"/>
      <c r="F18" s="6">
        <v>1500</v>
      </c>
      <c r="G18" s="6"/>
      <c r="H18" s="6"/>
      <c r="J18" s="19"/>
    </row>
    <row r="19" spans="1:10" x14ac:dyDescent="0.25">
      <c r="A19" t="s">
        <v>87</v>
      </c>
      <c r="D19" s="6">
        <v>700</v>
      </c>
      <c r="E19" s="6"/>
      <c r="F19" s="6">
        <v>700</v>
      </c>
      <c r="G19" s="6"/>
      <c r="H19" s="6"/>
      <c r="J19" s="19"/>
    </row>
    <row r="20" spans="1:10" x14ac:dyDescent="0.25">
      <c r="A20" t="s">
        <v>88</v>
      </c>
      <c r="E20" s="6"/>
      <c r="F20" s="6"/>
      <c r="G20" s="6"/>
      <c r="H20" s="6"/>
      <c r="J20" s="19"/>
    </row>
    <row r="21" spans="1:10" x14ac:dyDescent="0.25">
      <c r="A21" t="s">
        <v>89</v>
      </c>
      <c r="E21" s="6"/>
      <c r="F21" s="6">
        <v>950</v>
      </c>
      <c r="G21" s="6"/>
      <c r="H21" s="6"/>
      <c r="J21" s="19"/>
    </row>
    <row r="22" spans="1:10" x14ac:dyDescent="0.25">
      <c r="A22" t="s">
        <v>144</v>
      </c>
      <c r="D22" s="34">
        <v>3000</v>
      </c>
      <c r="E22" s="6"/>
      <c r="F22" s="6"/>
      <c r="G22" s="6"/>
      <c r="H22" s="6"/>
      <c r="J22" s="19"/>
    </row>
    <row r="23" spans="1:10" x14ac:dyDescent="0.25">
      <c r="A23" t="s">
        <v>90</v>
      </c>
      <c r="D23" s="34"/>
      <c r="E23" s="6"/>
      <c r="F23" s="6">
        <v>1500</v>
      </c>
      <c r="G23" s="6"/>
      <c r="H23" s="6"/>
      <c r="J23" s="19"/>
    </row>
    <row r="24" spans="1:10" x14ac:dyDescent="0.25">
      <c r="A24" t="s">
        <v>53</v>
      </c>
      <c r="D24" s="34"/>
      <c r="E24" s="6"/>
      <c r="F24" s="6"/>
      <c r="G24" s="6"/>
      <c r="H24" s="6"/>
      <c r="J24" s="19"/>
    </row>
    <row r="25" spans="1:10" x14ac:dyDescent="0.25">
      <c r="B25" s="3">
        <v>5735</v>
      </c>
      <c r="D25" s="13">
        <f>SUM(D18:D24)</f>
        <v>5975</v>
      </c>
      <c r="E25" s="7"/>
      <c r="F25" s="13">
        <f>SUM(F18:F24)</f>
        <v>4650</v>
      </c>
      <c r="G25" s="9"/>
      <c r="H25" s="13">
        <f>1467*uitgangspunten!D8</f>
        <v>1711.5</v>
      </c>
      <c r="J25" s="18">
        <f>F25/D25</f>
        <v>0.77824267782426781</v>
      </c>
    </row>
    <row r="26" spans="1:10" x14ac:dyDescent="0.25">
      <c r="D26" s="8"/>
      <c r="E26" s="7"/>
      <c r="F26" s="6"/>
      <c r="G26" s="9"/>
      <c r="H26" s="6"/>
    </row>
    <row r="27" spans="1:10" x14ac:dyDescent="0.25">
      <c r="A27" s="3" t="s">
        <v>16</v>
      </c>
      <c r="D27" s="13">
        <v>2400</v>
      </c>
      <c r="E27" s="7"/>
      <c r="F27" s="13">
        <v>0</v>
      </c>
      <c r="G27" s="9"/>
      <c r="H27" s="13">
        <f>F27</f>
        <v>0</v>
      </c>
      <c r="J27" s="18" t="s">
        <v>26</v>
      </c>
    </row>
    <row r="30" spans="1:10" x14ac:dyDescent="0.25">
      <c r="A30" s="4" t="s">
        <v>39</v>
      </c>
      <c r="D30" s="10">
        <f>+D25+D13+D6</f>
        <v>5975</v>
      </c>
      <c r="F30" s="10">
        <f>+F25+F13+F6</f>
        <v>6250</v>
      </c>
      <c r="H30" s="10">
        <f>+H25+H13+H6</f>
        <v>2011.5</v>
      </c>
    </row>
    <row r="31" spans="1:10" x14ac:dyDescent="0.25">
      <c r="A31" s="4" t="s">
        <v>40</v>
      </c>
      <c r="D31" s="10">
        <f>D27+D15+D8</f>
        <v>2400</v>
      </c>
      <c r="F31" s="10">
        <f>F27+F15+F8</f>
        <v>0</v>
      </c>
      <c r="G31" s="10"/>
      <c r="H31" s="10">
        <f>H27+H15+H8</f>
        <v>0</v>
      </c>
    </row>
    <row r="33" spans="1:8" x14ac:dyDescent="0.25">
      <c r="A33" s="15"/>
      <c r="C33" s="3"/>
      <c r="D33" s="43"/>
      <c r="E33" s="3"/>
      <c r="F33" s="43"/>
      <c r="G33" s="3"/>
      <c r="H33" s="43"/>
    </row>
    <row r="59" spans="10:10" x14ac:dyDescent="0.25">
      <c r="J59" s="20"/>
    </row>
    <row r="64" spans="10:10" x14ac:dyDescent="0.25">
      <c r="J64" s="21"/>
    </row>
  </sheetData>
  <pageMargins left="0.75" right="0.75" top="1" bottom="1" header="0.5" footer="0.5"/>
  <pageSetup paperSize="9" scale="84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zoomScaleNormal="100" workbookViewId="0">
      <selection activeCell="D11" sqref="D11"/>
    </sheetView>
  </sheetViews>
  <sheetFormatPr defaultColWidth="10.875" defaultRowHeight="15.75" x14ac:dyDescent="0.25"/>
  <cols>
    <col min="1" max="1" width="51.375" customWidth="1"/>
    <col min="2" max="2" width="11.875" style="3" hidden="1" customWidth="1"/>
    <col min="3" max="3" width="1.625" customWidth="1"/>
    <col min="4" max="4" width="11.125" style="25" customWidth="1"/>
    <col min="5" max="5" width="3.875" style="25" customWidth="1"/>
    <col min="6" max="6" width="7.75" style="25" customWidth="1"/>
    <col min="7" max="7" width="3.875" style="25" customWidth="1"/>
    <col min="8" max="8" width="9" style="25" customWidth="1"/>
    <col min="9" max="9" width="10.875" hidden="1" customWidth="1"/>
    <col min="10" max="10" width="6.875" style="18" hidden="1" customWidth="1"/>
    <col min="11" max="11" width="1.375" customWidth="1"/>
  </cols>
  <sheetData>
    <row r="1" spans="1:12" x14ac:dyDescent="0.25">
      <c r="A1" s="2" t="s">
        <v>131</v>
      </c>
      <c r="B1" s="4"/>
      <c r="C1" s="1"/>
      <c r="D1" s="22"/>
      <c r="E1" s="22"/>
      <c r="F1" s="22"/>
      <c r="G1" s="22"/>
      <c r="H1" s="22"/>
    </row>
    <row r="2" spans="1:12" ht="31.5" x14ac:dyDescent="0.25">
      <c r="B2" s="3" t="s">
        <v>13</v>
      </c>
      <c r="D2" s="44" t="s">
        <v>129</v>
      </c>
      <c r="E2" s="23"/>
      <c r="F2" s="46" t="s">
        <v>78</v>
      </c>
      <c r="G2" s="24"/>
      <c r="H2" s="46" t="s">
        <v>79</v>
      </c>
      <c r="J2" s="19" t="s">
        <v>25</v>
      </c>
      <c r="L2" s="5" t="s">
        <v>12</v>
      </c>
    </row>
    <row r="3" spans="1:12" x14ac:dyDescent="0.25">
      <c r="A3" s="1" t="s">
        <v>8</v>
      </c>
    </row>
    <row r="5" spans="1:12" x14ac:dyDescent="0.25">
      <c r="A5" s="3" t="s">
        <v>10</v>
      </c>
    </row>
    <row r="6" spans="1:12" x14ac:dyDescent="0.25">
      <c r="A6" t="s">
        <v>11</v>
      </c>
      <c r="B6" s="3">
        <v>5510</v>
      </c>
      <c r="D6" s="34">
        <v>9100</v>
      </c>
      <c r="F6" s="25">
        <v>9100</v>
      </c>
      <c r="H6" s="25">
        <f>5785*uitgangspunten!D8</f>
        <v>6749.166666666667</v>
      </c>
      <c r="J6" s="18">
        <f>F6/D6</f>
        <v>1</v>
      </c>
    </row>
    <row r="7" spans="1:12" s="1" customFormat="1" x14ac:dyDescent="0.25">
      <c r="B7" s="4"/>
      <c r="D7" s="26">
        <f>SUM(D6:D6)</f>
        <v>9100</v>
      </c>
      <c r="E7" s="26"/>
      <c r="F7" s="26">
        <f>SUM(F6:F6)</f>
        <v>9100</v>
      </c>
      <c r="G7" s="26"/>
      <c r="H7" s="26">
        <f>SUM(H6:H6)</f>
        <v>6749.166666666667</v>
      </c>
      <c r="J7" s="18"/>
    </row>
    <row r="9" spans="1:12" x14ac:dyDescent="0.25">
      <c r="A9" t="s">
        <v>57</v>
      </c>
    </row>
    <row r="10" spans="1:12" x14ac:dyDescent="0.25">
      <c r="A10" t="s">
        <v>58</v>
      </c>
      <c r="D10" s="34">
        <v>10000</v>
      </c>
      <c r="F10" s="25">
        <v>10000</v>
      </c>
      <c r="H10" s="25">
        <f>6740*uitgangspunten!D8</f>
        <v>7863.3333333333339</v>
      </c>
    </row>
    <row r="11" spans="1:12" x14ac:dyDescent="0.25">
      <c r="A11" s="3"/>
      <c r="B11" s="3">
        <v>8510</v>
      </c>
      <c r="D11" s="26">
        <f>SUM(D10:D10)</f>
        <v>10000</v>
      </c>
      <c r="E11" s="26"/>
      <c r="F11" s="26">
        <f>SUM(F10:F10)</f>
        <v>10000</v>
      </c>
      <c r="G11" s="26"/>
      <c r="H11" s="26">
        <f>SUM(H10:H10)</f>
        <v>7863.3333333333339</v>
      </c>
      <c r="J11" s="18">
        <f>F11/D11</f>
        <v>1</v>
      </c>
    </row>
    <row r="13" spans="1:12" x14ac:dyDescent="0.25">
      <c r="A13" s="15"/>
      <c r="C13" s="3"/>
      <c r="D13" s="29"/>
      <c r="E13" s="29"/>
      <c r="F13" s="29"/>
      <c r="G13" s="29"/>
      <c r="H13" s="29"/>
    </row>
    <row r="49" spans="10:10" x14ac:dyDescent="0.25">
      <c r="J49" s="20"/>
    </row>
    <row r="54" spans="10:10" x14ac:dyDescent="0.25">
      <c r="J54" s="21"/>
    </row>
    <row r="55" spans="10:10" x14ac:dyDescent="0.25">
      <c r="J55" s="21"/>
    </row>
  </sheetData>
  <pageMargins left="0.75" right="0.75" top="1" bottom="1" header="0.5" footer="0.5"/>
  <pageSetup paperSize="9" scale="78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L25" sqref="L25"/>
    </sheetView>
  </sheetViews>
  <sheetFormatPr defaultColWidth="11" defaultRowHeight="15.75" x14ac:dyDescent="0.25"/>
  <cols>
    <col min="1" max="1" width="51.375" customWidth="1"/>
    <col min="2" max="2" width="11.875" style="3" customWidth="1"/>
    <col min="3" max="3" width="5.875" customWidth="1"/>
    <col min="4" max="4" width="10.875" style="25"/>
    <col min="5" max="5" width="3.875" style="25" customWidth="1"/>
    <col min="6" max="6" width="10.875" style="25" customWidth="1"/>
    <col min="7" max="7" width="3.875" style="25" customWidth="1"/>
    <col min="8" max="8" width="10.875" style="25" customWidth="1"/>
    <col min="9" max="9" width="5.875" customWidth="1"/>
    <col min="10" max="10" width="12.875" customWidth="1"/>
  </cols>
  <sheetData>
    <row r="1" spans="1:10" s="1" customFormat="1" x14ac:dyDescent="0.25">
      <c r="A1" s="1" t="s">
        <v>37</v>
      </c>
      <c r="B1" s="3"/>
      <c r="D1" s="22"/>
      <c r="E1" s="22"/>
      <c r="F1" s="22"/>
      <c r="G1" s="22"/>
      <c r="H1" s="22"/>
    </row>
    <row r="2" spans="1:10" x14ac:dyDescent="0.25">
      <c r="B2" s="3" t="s">
        <v>13</v>
      </c>
      <c r="D2" s="23" t="s">
        <v>5</v>
      </c>
      <c r="E2" s="23"/>
      <c r="F2" s="23" t="s">
        <v>36</v>
      </c>
      <c r="G2" s="24"/>
      <c r="H2" s="23" t="s">
        <v>6</v>
      </c>
      <c r="J2" s="5" t="s">
        <v>12</v>
      </c>
    </row>
    <row r="3" spans="1:10" x14ac:dyDescent="0.25">
      <c r="A3" s="3" t="s">
        <v>10</v>
      </c>
    </row>
    <row r="4" spans="1:10" x14ac:dyDescent="0.25">
      <c r="A4" t="s">
        <v>31</v>
      </c>
      <c r="B4" s="3">
        <v>5035</v>
      </c>
    </row>
    <row r="5" spans="1:10" x14ac:dyDescent="0.25">
      <c r="A5" t="s">
        <v>21</v>
      </c>
      <c r="B5" s="3">
        <v>5035</v>
      </c>
    </row>
    <row r="6" spans="1:10" x14ac:dyDescent="0.25">
      <c r="A6" t="s">
        <v>22</v>
      </c>
      <c r="B6" s="3">
        <v>5035</v>
      </c>
    </row>
    <row r="7" spans="1:10" x14ac:dyDescent="0.25">
      <c r="A7" t="s">
        <v>32</v>
      </c>
      <c r="B7" s="3">
        <v>5035</v>
      </c>
    </row>
    <row r="8" spans="1:10" x14ac:dyDescent="0.25">
      <c r="A8" t="s">
        <v>20</v>
      </c>
      <c r="B8" s="3">
        <v>5035</v>
      </c>
    </row>
    <row r="9" spans="1:10" x14ac:dyDescent="0.25">
      <c r="A9" s="17" t="s">
        <v>33</v>
      </c>
      <c r="B9" s="3">
        <v>5035</v>
      </c>
    </row>
    <row r="10" spans="1:10" x14ac:dyDescent="0.25">
      <c r="A10" s="17" t="s">
        <v>35</v>
      </c>
      <c r="B10" s="3">
        <v>5035</v>
      </c>
    </row>
    <row r="11" spans="1:10" x14ac:dyDescent="0.25">
      <c r="A11" s="12"/>
      <c r="D11" s="26">
        <f>SUM(D4:D10)</f>
        <v>0</v>
      </c>
      <c r="E11" s="27"/>
      <c r="F11" s="26">
        <f>SUM(F4:F10)</f>
        <v>0</v>
      </c>
      <c r="G11" s="27"/>
      <c r="H11" s="26">
        <f>SUM(H4:H10)</f>
        <v>0</v>
      </c>
    </row>
    <row r="13" spans="1:10" x14ac:dyDescent="0.25">
      <c r="A13" s="3" t="s">
        <v>19</v>
      </c>
    </row>
    <row r="14" spans="1:10" x14ac:dyDescent="0.25">
      <c r="A14" t="s">
        <v>34</v>
      </c>
      <c r="D14" s="25">
        <v>0</v>
      </c>
      <c r="F14" s="25">
        <v>0</v>
      </c>
      <c r="H14" s="25">
        <f>F14</f>
        <v>0</v>
      </c>
    </row>
    <row r="15" spans="1:10" x14ac:dyDescent="0.25">
      <c r="A15" t="s">
        <v>23</v>
      </c>
      <c r="D15" s="25">
        <v>0</v>
      </c>
      <c r="F15" s="25">
        <v>0</v>
      </c>
      <c r="H15" s="25">
        <f>F15</f>
        <v>0</v>
      </c>
    </row>
    <row r="16" spans="1:10" x14ac:dyDescent="0.25">
      <c r="A16" t="s">
        <v>24</v>
      </c>
      <c r="D16" s="25">
        <v>0</v>
      </c>
      <c r="F16" s="25">
        <v>0</v>
      </c>
      <c r="H16" s="25">
        <f>F16</f>
        <v>0</v>
      </c>
    </row>
    <row r="17" spans="1:8" s="1" customFormat="1" x14ac:dyDescent="0.25">
      <c r="A17" s="11"/>
      <c r="B17" s="3"/>
      <c r="D17" s="26">
        <f>SUM(D14:D16)</f>
        <v>0</v>
      </c>
      <c r="E17" s="26"/>
      <c r="F17" s="26">
        <f>SUM(F14:F16)</f>
        <v>0</v>
      </c>
      <c r="G17" s="26"/>
      <c r="H17" s="26">
        <f>SUM(H14:H16)</f>
        <v>0</v>
      </c>
    </row>
    <row r="18" spans="1:8" s="1" customFormat="1" x14ac:dyDescent="0.25">
      <c r="B18" s="3"/>
      <c r="D18" s="22"/>
      <c r="E18" s="22"/>
      <c r="F18" s="22"/>
      <c r="G18" s="22"/>
      <c r="H18" s="22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uitgangspunten</vt:lpstr>
      <vt:lpstr>overzicht 2025</vt:lpstr>
      <vt:lpstr>ontmoeting-empowerment-welzijn</vt:lpstr>
      <vt:lpstr>veiligheid-belangenbehartiging</vt:lpstr>
      <vt:lpstr>voorlichting</vt:lpstr>
      <vt:lpstr>stadsambassadeurs 2018</vt:lpstr>
      <vt:lpstr>voorlichting!Afdrukbereik</vt:lpstr>
    </vt:vector>
  </TitlesOfParts>
  <Company>COC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2024</dc:title>
  <dc:subject>Begroting 2024</dc:subject>
  <dc:creator>Eric ten Harkel, Penningmeester</dc:creator>
  <cp:lastModifiedBy>Eric ten Harkel</cp:lastModifiedBy>
  <cp:lastPrinted>2024-11-14T12:58:45Z</cp:lastPrinted>
  <dcterms:created xsi:type="dcterms:W3CDTF">2015-06-12T15:10:40Z</dcterms:created>
  <dcterms:modified xsi:type="dcterms:W3CDTF">2024-11-27T13:33:58Z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f86b7d-1988-4f24-944b-5d2c446767cd_Enabled">
    <vt:lpwstr>true</vt:lpwstr>
  </property>
  <property fmtid="{D5CDD505-2E9C-101B-9397-08002B2CF9AE}" pid="3" name="MSIP_Label_30f86b7d-1988-4f24-944b-5d2c446767cd_SetDate">
    <vt:lpwstr>2023-11-09T16:31:56Z</vt:lpwstr>
  </property>
  <property fmtid="{D5CDD505-2E9C-101B-9397-08002B2CF9AE}" pid="4" name="MSIP_Label_30f86b7d-1988-4f24-944b-5d2c446767cd_Method">
    <vt:lpwstr>Standard</vt:lpwstr>
  </property>
  <property fmtid="{D5CDD505-2E9C-101B-9397-08002B2CF9AE}" pid="5" name="MSIP_Label_30f86b7d-1988-4f24-944b-5d2c446767cd_Name">
    <vt:lpwstr>Public</vt:lpwstr>
  </property>
  <property fmtid="{D5CDD505-2E9C-101B-9397-08002B2CF9AE}" pid="6" name="MSIP_Label_30f86b7d-1988-4f24-944b-5d2c446767cd_SiteId">
    <vt:lpwstr>15e6965d-822c-4a03-8d26-22f9a80b8250</vt:lpwstr>
  </property>
  <property fmtid="{D5CDD505-2E9C-101B-9397-08002B2CF9AE}" pid="7" name="MSIP_Label_30f86b7d-1988-4f24-944b-5d2c446767cd_ActionId">
    <vt:lpwstr>12935f96-e307-41d1-a97b-382d9ad0d582</vt:lpwstr>
  </property>
  <property fmtid="{D5CDD505-2E9C-101B-9397-08002B2CF9AE}" pid="8" name="MSIP_Label_30f86b7d-1988-4f24-944b-5d2c446767cd_ContentBits">
    <vt:lpwstr>0</vt:lpwstr>
  </property>
</Properties>
</file>